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SHBOARD" sheetId="2" state="visible" r:id="rId4"/>
    <sheet name="CONFIGURACION" sheetId="3" state="visible" r:id="rId5"/>
    <sheet name="TRANSPORTISTAS" sheetId="4" state="visible" r:id="rId6"/>
    <sheet name="TARIFAS" sheetId="5" state="visible" r:id="rId7"/>
    <sheet name="REGISTRO DE ENVIO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<sst xmlns="http://schemas.openxmlformats.org/spreadsheetml/2006/main" count="586" uniqueCount="160">
  <si>
    <t xml:space="preserve">CÓMO USAR ESTA PLANTILLA</t>
  </si>
  <si>
    <t xml:space="preserve">¿Qué es esto?</t>
  </si>
  <si>
    <t xml:space="preserve">Un registro de envíos que calcula solo cuánto deberías pagar por cada envío (según tu tarifario y el peso facturable real) y lo compara con lo que te ha cobrado de verdad el transportista, para detectar cobros incorrectos antes de que se acumulen en la factura mensual.</t>
  </si>
  <si>
    <t xml:space="preserve">Orden de las hojas</t>
  </si>
  <si>
    <t xml:space="preserve">1) CONFIGURACIÓN — parámetros generales. 2) TRANSPORTISTAS — tus transportistas y sus recargos. 3) TARIFAS — tu tarifario negociado por zona y peso (sustituye los datos de ejemplo por los tuyos reales). 4) REGISTRO DE ENVÍOS — la hoja principal, donde apuntas cada envío y pegas lo que te cobró el transportista. 5) DASHBOARD — resumen visual.</t>
  </si>
  <si>
    <t xml:space="preserve">Peso volumétrico</t>
  </si>
  <si>
    <t xml:space="preserve">Se calcula solo a partir de las dimensiones (largo x ancho x alto en cm, dividido por el divisor de CONFIGURACIÓN, normalmente 5000). El coste esperado siempre usa el mayor entre el peso real y el volumétrico, que es como facturan la mayoría de transportistas: mira este dato con atención, es donde más discrepancias suelen aparecer.</t>
  </si>
  <si>
    <t xml:space="preserve">Cómo se calcula el coste esperado</t>
  </si>
  <si>
    <t xml:space="preserve">Busca en TARIFAS el precio base según transportista + zona + tramo de peso, le suma el recargo de combustible (% sobre el precio base, configurado en TRANSPORTISTAS) y los otros recargos fijos del transportista. El resultado es lo que 'debería' costar ese envío según tu tarifario.</t>
  </si>
  <si>
    <t xml:space="preserve">Lo único que rellenas a mano por envío</t>
  </si>
  <si>
    <t xml:space="preserve">Fecha, nº de seguimiento, transportista, zona, peso, dimensiones, y el coste facturado real (cópialo de la factura del transportista). Todo lo demás se calcula solo.</t>
  </si>
  <si>
    <t xml:space="preserve">Semáforo de estado</t>
  </si>
  <si>
    <t xml:space="preserve">✅ Correcto: la diferencia entre lo esperado y lo facturado está dentro del umbral de tolerancia de CONFIGURACIÓN. ⚠ Revisar: la diferencia supera ese umbral, hay que comprobar la factura con el transportista, puede ser un error de zona, de peso volumétrico mal aplicado, o un recargo no acordado.</t>
  </si>
  <si>
    <t xml:space="preserve">Límites de esta herramienta</t>
  </si>
  <si>
    <t xml:space="preserve">No sustituye a tu ERP ni a tu sistema de facturación. Es una herramienta de control para detectar discrepancias, no genera reclamaciones automáticas ni se conecta a la web del transportista.</t>
  </si>
  <si>
    <t xml:space="preserve">Más información</t>
  </si>
  <si>
    <t xml:space="preserve">Artículos relacionados y más recursos en nodostock.es.</t>
  </si>
  <si>
    <t xml:space="preserve">DASHBOARD — CONTROL DE ENVÍOS Y FACTURACIÓN</t>
  </si>
  <si>
    <t xml:space="preserve">Nodostock · plantilla gratuita — nodostock.es</t>
  </si>
  <si>
    <t xml:space="preserve">Envíos registrados</t>
  </si>
  <si>
    <t xml:space="preserve">Coste esperado total</t>
  </si>
  <si>
    <t xml:space="preserve">Coste facturado total</t>
  </si>
  <si>
    <t xml:space="preserve">Diferencia total (sobrecoste)</t>
  </si>
  <si>
    <t xml:space="preserve">Envíos a revisar (⚠)</t>
  </si>
  <si>
    <t xml:space="preserve">Envíos correctos (✅)</t>
  </si>
  <si>
    <t xml:space="preserve">% envíos con discrepancia</t>
  </si>
  <si>
    <t xml:space="preserve">Sobrecoste medio por envío con discrepancia</t>
  </si>
  <si>
    <t xml:space="preserve">Resumen por transportista</t>
  </si>
  <si>
    <t xml:space="preserve">Transportista</t>
  </si>
  <si>
    <t xml:space="preserve">Nº envíos</t>
  </si>
  <si>
    <t xml:space="preserve">Coste esperado</t>
  </si>
  <si>
    <t xml:space="preserve">Coste facturado</t>
  </si>
  <si>
    <t xml:space="preserve">Diferencia</t>
  </si>
  <si>
    <t xml:space="preserve">UPS</t>
  </si>
  <si>
    <t xml:space="preserve">GLS</t>
  </si>
  <si>
    <t xml:space="preserve">CTT Express</t>
  </si>
  <si>
    <t xml:space="preserve">DHL</t>
  </si>
  <si>
    <t xml:space="preserve">FedEx</t>
  </si>
  <si>
    <t xml:space="preserve">Estado</t>
  </si>
  <si>
    <t xml:space="preserve">Correcto</t>
  </si>
  <si>
    <t xml:space="preserve">A revisar</t>
  </si>
  <si>
    <t xml:space="preserve">CONFIGURACIÓN</t>
  </si>
  <si>
    <t xml:space="preserve">Parámetro</t>
  </si>
  <si>
    <t xml:space="preserve">Valor</t>
  </si>
  <si>
    <t xml:space="preserve">Nota</t>
  </si>
  <si>
    <t xml:space="preserve">Nombre de empresa</t>
  </si>
  <si>
    <t xml:space="preserve">Nodostock Demo</t>
  </si>
  <si>
    <t xml:space="preserve">Solo informativo</t>
  </si>
  <si>
    <t xml:space="preserve">Divisor volumétrico</t>
  </si>
  <si>
    <t xml:space="preserve">Estándar de mensajería (L x A x H en cm, dividido entre este número, da el peso volumétrico en kg). Cambia si tu transportista usa otro divisor.</t>
  </si>
  <si>
    <t xml:space="preserve">Umbral de tolerancia (%)</t>
  </si>
  <si>
    <t xml:space="preserve">Diferencia máxima aceptable entre lo esperado y lo facturado antes de marcar el envío para revisar.</t>
  </si>
  <si>
    <t xml:space="preserve">MAESTRO DE TRANSPORTISTAS</t>
  </si>
  <si>
    <t xml:space="preserve">Servicio principal</t>
  </si>
  <si>
    <t xml:space="preserve">Contacto</t>
  </si>
  <si>
    <t xml:space="preserve">Recargo combustible (%)</t>
  </si>
  <si>
    <t xml:space="preserve">Otros recargos fijos (€/envío)</t>
  </si>
  <si>
    <t xml:space="preserve">Colaboración FBA / Estándar</t>
  </si>
  <si>
    <t xml:space="preserve">Comercial UPS</t>
  </si>
  <si>
    <t xml:space="preserve">Tarifa negociada vía colaboración Amazon FBA</t>
  </si>
  <si>
    <t xml:space="preserve">Estándar 24h</t>
  </si>
  <si>
    <t xml:space="preserve">Comercial GLS</t>
  </si>
  <si>
    <t xml:space="preserve">Estándar 24/48h</t>
  </si>
  <si>
    <t xml:space="preserve">Comercial CTT</t>
  </si>
  <si>
    <t xml:space="preserve">Express Internacional</t>
  </si>
  <si>
    <t xml:space="preserve">Comercial DHL</t>
  </si>
  <si>
    <t xml:space="preserve">Uso principal en envíos internacionales</t>
  </si>
  <si>
    <t xml:space="preserve">Internacional</t>
  </si>
  <si>
    <t xml:space="preserve">Comercial FedEx</t>
  </si>
  <si>
    <t xml:space="preserve">Todas las celdas de esta hoja son editables: sustituye por tus tarifas reales negociadas con cada transportista.</t>
  </si>
  <si>
    <t xml:space="preserve">TARIFARIO POR ZONA Y PESO</t>
  </si>
  <si>
    <t xml:space="preserve">Total tramos de tarifa: 150</t>
  </si>
  <si>
    <t xml:space="preserve">Zona</t>
  </si>
  <si>
    <t xml:space="preserve">Peso mínimo (kg)</t>
  </si>
  <si>
    <t xml:space="preserve">Peso máximo (kg)</t>
  </si>
  <si>
    <t xml:space="preserve">Precio base (€)</t>
  </si>
  <si>
    <t xml:space="preserve">Nacional Península</t>
  </si>
  <si>
    <t xml:space="preserve">Baleares</t>
  </si>
  <si>
    <t xml:space="preserve">Canarias</t>
  </si>
  <si>
    <t xml:space="preserve">Internacional UE</t>
  </si>
  <si>
    <t xml:space="preserve">Internacional resto</t>
  </si>
  <si>
    <t xml:space="preserve">REGISTRO DE ENVÍOS Y VALIDACIÓN DE FACTURACIÓN</t>
  </si>
  <si>
    <t xml:space="preserve">Fecha</t>
  </si>
  <si>
    <t xml:space="preserve">Nº de seguimiento</t>
  </si>
  <si>
    <t xml:space="preserve">Zona/Destino</t>
  </si>
  <si>
    <t xml:space="preserve">Peso real (kg)</t>
  </si>
  <si>
    <t xml:space="preserve">Largo (cm)</t>
  </si>
  <si>
    <t xml:space="preserve">Ancho (cm)</t>
  </si>
  <si>
    <t xml:space="preserve">Alto (cm)</t>
  </si>
  <si>
    <t xml:space="preserve">Peso volumétrico (kg)</t>
  </si>
  <si>
    <t xml:space="preserve">Peso facturable (kg)</t>
  </si>
  <si>
    <t xml:space="preserve">Precio base esperado (€)</t>
  </si>
  <si>
    <t xml:space="preserve">Recargo combustible (€)</t>
  </si>
  <si>
    <t xml:space="preserve">Otros recargos (€)</t>
  </si>
  <si>
    <t xml:space="preserve">Coste esperado total (€)</t>
  </si>
  <si>
    <t xml:space="preserve">Coste facturado real (€)</t>
  </si>
  <si>
    <t xml:space="preserve">Diferencia (€)</t>
  </si>
  <si>
    <t xml:space="preserve">Diferencia (%)</t>
  </si>
  <si>
    <t xml:space="preserve">Motivo / nota</t>
  </si>
  <si>
    <t xml:space="preserve">GL725763863</t>
  </si>
  <si>
    <t xml:space="preserve">UP163469421</t>
  </si>
  <si>
    <t xml:space="preserve">FE150017772</t>
  </si>
  <si>
    <t xml:space="preserve">GL724488420</t>
  </si>
  <si>
    <t xml:space="preserve">FE830573909</t>
  </si>
  <si>
    <t xml:space="preserve">FE187891151</t>
  </si>
  <si>
    <t xml:space="preserve">DH277126709</t>
  </si>
  <si>
    <t xml:space="preserve">DH846567715</t>
  </si>
  <si>
    <t xml:space="preserve">UP885076355</t>
  </si>
  <si>
    <t xml:space="preserve">DH595741540</t>
  </si>
  <si>
    <t xml:space="preserve">UP633120015</t>
  </si>
  <si>
    <t xml:space="preserve">CT485227600</t>
  </si>
  <si>
    <t xml:space="preserve">GL620724767</t>
  </si>
  <si>
    <t xml:space="preserve">UP841411915</t>
  </si>
  <si>
    <t xml:space="preserve">UP527424008</t>
  </si>
  <si>
    <t xml:space="preserve">DH218034622</t>
  </si>
  <si>
    <t xml:space="preserve">FE323287495</t>
  </si>
  <si>
    <t xml:space="preserve">CT615820314</t>
  </si>
  <si>
    <t xml:space="preserve">CT124798844</t>
  </si>
  <si>
    <t xml:space="preserve">GL847535601</t>
  </si>
  <si>
    <t xml:space="preserve">CT758448788</t>
  </si>
  <si>
    <t xml:space="preserve">GL629120474</t>
  </si>
  <si>
    <t xml:space="preserve">CT968190855</t>
  </si>
  <si>
    <t xml:space="preserve">UP618245037</t>
  </si>
  <si>
    <t xml:space="preserve">DH517187073</t>
  </si>
  <si>
    <t xml:space="preserve">GL530985811</t>
  </si>
  <si>
    <t xml:space="preserve">GL756671867</t>
  </si>
  <si>
    <t xml:space="preserve">CT665412094</t>
  </si>
  <si>
    <t xml:space="preserve">GL378490828</t>
  </si>
  <si>
    <t xml:space="preserve">CT240405983</t>
  </si>
  <si>
    <t xml:space="preserve">DH608409165</t>
  </si>
  <si>
    <t xml:space="preserve">CT161012773</t>
  </si>
  <si>
    <t xml:space="preserve">FE757696806</t>
  </si>
  <si>
    <t xml:space="preserve">CT850779486</t>
  </si>
  <si>
    <t xml:space="preserve">FE230590580</t>
  </si>
  <si>
    <t xml:space="preserve">GL868927867</t>
  </si>
  <si>
    <t xml:space="preserve">GL274799977</t>
  </si>
  <si>
    <t xml:space="preserve">DH442014228</t>
  </si>
  <si>
    <t xml:space="preserve">FE769936596</t>
  </si>
  <si>
    <t xml:space="preserve">GL936442127</t>
  </si>
  <si>
    <t xml:space="preserve">CT196059312</t>
  </si>
  <si>
    <t xml:space="preserve">DH189917850</t>
  </si>
  <si>
    <t xml:space="preserve">UP767549003</t>
  </si>
  <si>
    <t xml:space="preserve">UP775030454</t>
  </si>
  <si>
    <t xml:space="preserve">DH139674064</t>
  </si>
  <si>
    <t xml:space="preserve">GL804921640</t>
  </si>
  <si>
    <t xml:space="preserve">FE993660865</t>
  </si>
  <si>
    <t xml:space="preserve">DH771570011</t>
  </si>
  <si>
    <t xml:space="preserve">UP843765415</t>
  </si>
  <si>
    <t xml:space="preserve">CT362472429</t>
  </si>
  <si>
    <t xml:space="preserve">CT639838738</t>
  </si>
  <si>
    <t xml:space="preserve">UP124152911</t>
  </si>
  <si>
    <t xml:space="preserve">FE873821322</t>
  </si>
  <si>
    <t xml:space="preserve">GL249580406</t>
  </si>
  <si>
    <t xml:space="preserve">UP133458365</t>
  </si>
  <si>
    <t xml:space="preserve">DH830857592</t>
  </si>
  <si>
    <t xml:space="preserve">UP170921024</t>
  </si>
  <si>
    <t xml:space="preserve">CT510771188</t>
  </si>
  <si>
    <t xml:space="preserve">UP372666299</t>
  </si>
  <si>
    <t xml:space="preserve">FE843228175</t>
  </si>
  <si>
    <t xml:space="preserve">Columna 'Coste facturado real (O)' en amarillo = dato manual, cópialo de tu factura del transportista. El resto se calcula solo.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</si>
</sst>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&quot; €&quot;"/>
    <numFmt numFmtId="167" formatCode="0.0%"/>
    <numFmt numFmtId="168" formatCode="0%"/>
    <numFmt numFmtId="169" formatCode="dd/mm/yyyy"/>
    <numFmt numFmtId="170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240"/>
      <name val="Arial"/>
      <family val="0"/>
      <charset val="1"/>
    </font>
    <font>
      <b val="true"/>
      <sz val="10"/>
      <color rgb="FF0F224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6"/>
      <color rgb="FF2563E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7FA"/>
        <bgColor rgb="FFFFFFFF"/>
      </patternFill>
    </fill>
    <fill>
      <patternFill patternType="solid">
        <fgColor rgb="FF0F2240"/>
        <bgColor rgb="FF333333"/>
      </patternFill>
    </fill>
    <fill>
      <patternFill patternType="solid">
        <fgColor rgb="FFFFF9DB"/>
        <bgColor rgb="FFF5F7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FF9DB"/>
      <rgbColor rgb="FFF5F7FA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66"/>
      <rgbColor rgb="FF969696"/>
      <rgbColor rgb="FF0F2240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Coste esperado vs facturado por transportista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DASHBOARD!C22</c:f>
              <c:strCache>
                <c:ptCount val="1"/>
                <c:pt idx="0">
                  <c:v>Coste esperado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DASHBOARD!$A$23:$A$27</c:f>
              <c:strCache>
                <c:ptCount val="5"/>
                <c:pt idx="0">
                  <c:v>UPS</c:v>
                </c:pt>
                <c:pt idx="1">
                  <c:v>GLS</c:v>
                </c:pt>
                <c:pt idx="2">
                  <c:v>CTT Express</c:v>
                </c:pt>
                <c:pt idx="3">
                  <c:v>DHL</c:v>
                </c:pt>
                <c:pt idx="4">
                  <c:v>FedEx</c:v>
                </c:pt>
              </c:strCache>
            </c:strRef>
          </c:cat>
          <c:val>
            <c:numRef>
              <c:f>DASHBOARD!$C$23:$C$27</c:f>
              <c:numCache>
                <c:formatCode>#,##0.00" €"</c:formatCode>
                <c:ptCount val="5"/>
                <c:pt idx="0">
                  <c:v>280.9316</c:v>
                </c:pt>
                <c:pt idx="1">
                  <c:v>211.8052</c:v>
                </c:pt>
                <c:pt idx="2">
                  <c:v>235.877</c:v>
                </c:pt>
                <c:pt idx="3">
                  <c:v>369.4238</c:v>
                </c:pt>
                <c:pt idx="4">
                  <c:v>287.5316</c:v>
                </c:pt>
              </c:numCache>
            </c:numRef>
          </c:val>
        </c:ser>
        <c:ser>
          <c:idx val="1"/>
          <c:order val="1"/>
          <c:tx>
            <c:strRef>
              <c:f>DASHBOARD!D22</c:f>
              <c:strCache>
                <c:ptCount val="1"/>
                <c:pt idx="0">
                  <c:v>Coste facturado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DASHBOARD!$A$23:$A$27</c:f>
              <c:strCache>
                <c:ptCount val="5"/>
                <c:pt idx="0">
                  <c:v>UPS</c:v>
                </c:pt>
                <c:pt idx="1">
                  <c:v>GLS</c:v>
                </c:pt>
                <c:pt idx="2">
                  <c:v>CTT Express</c:v>
                </c:pt>
                <c:pt idx="3">
                  <c:v>DHL</c:v>
                </c:pt>
                <c:pt idx="4">
                  <c:v>FedEx</c:v>
                </c:pt>
              </c:strCache>
            </c:strRef>
          </c:cat>
          <c:val>
            <c:numRef>
              <c:f>DASHBOARD!$D$23:$D$27</c:f>
              <c:numCache>
                <c:formatCode>#,##0.00" €"</c:formatCode>
                <c:ptCount val="5"/>
                <c:pt idx="0">
                  <c:v>293.07</c:v>
                </c:pt>
                <c:pt idx="1">
                  <c:v>216.64</c:v>
                </c:pt>
                <c:pt idx="2">
                  <c:v>242.61</c:v>
                </c:pt>
                <c:pt idx="3">
                  <c:v>377.64</c:v>
                </c:pt>
                <c:pt idx="4">
                  <c:v>287.29</c:v>
                </c:pt>
              </c:numCache>
            </c:numRef>
          </c:val>
        </c:ser>
        <c:gapWidth val="150"/>
        <c:overlap val="0"/>
        <c:axId val="58597029"/>
        <c:axId val="18173952"/>
      </c:barChart>
      <c:catAx>
        <c:axId val="585970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173952"/>
        <c:crosses val="autoZero"/>
        <c:auto val="1"/>
        <c:lblAlgn val="ctr"/>
        <c:lblOffset val="100"/>
        <c:noMultiLvlLbl val="0"/>
      </c:catAx>
      <c:valAx>
        <c:axId val="1817395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59702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Envíos correctos vs a revisar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DASHBOARD!H29</c:f>
              <c:strCache>
                <c:ptCount val="1"/>
                <c:pt idx="0">
                  <c:v>Nº envíos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DASHBOARD!$G$30:$G$31</c:f>
              <c:strCache>
                <c:ptCount val="2"/>
                <c:pt idx="0">
                  <c:v>Correcto</c:v>
                </c:pt>
                <c:pt idx="1">
                  <c:v>A revisar</c:v>
                </c:pt>
              </c:strCache>
            </c:strRef>
          </c:cat>
          <c:val>
            <c:numRef>
              <c:f>DASHBOARD!$H$30:$H$31</c:f>
              <c:numCache>
                <c:formatCode>General</c:formatCode>
                <c:ptCount val="2"/>
                <c:pt idx="0">
                  <c:v>51</c:v>
                </c:pt>
                <c:pt idx="1">
                  <c:v>9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160560</xdr:rowOff>
    </xdr:from>
    <xdr:to>
      <xdr:col>7</xdr:col>
      <xdr:colOff>8280</xdr:colOff>
      <xdr:row>45</xdr:row>
      <xdr:rowOff>140760</xdr:rowOff>
    </xdr:to>
    <xdr:graphicFrame>
      <xdr:nvGraphicFramePr>
        <xdr:cNvPr id="0" name="Chart 1"/>
        <xdr:cNvGraphicFramePr/>
      </xdr:nvGraphicFramePr>
      <xdr:xfrm>
        <a:off x="0" y="552456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26</xdr:row>
      <xdr:rowOff>160560</xdr:rowOff>
    </xdr:from>
    <xdr:to>
      <xdr:col>9</xdr:col>
      <xdr:colOff>134640</xdr:colOff>
      <xdr:row>45</xdr:row>
      <xdr:rowOff>140760</xdr:rowOff>
    </xdr:to>
    <xdr:graphicFrame>
      <xdr:nvGraphicFramePr>
        <xdr:cNvPr id="1" name="Chart 2"/>
        <xdr:cNvGraphicFramePr/>
      </xdr:nvGraphicFramePr>
      <xdr:xfrm>
        <a:off x="4229280" y="5524560"/>
        <a:ext cx="43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3" customFormat="false" ht="60" hidden="false" customHeight="true" outlineLevel="0" collapsed="false">
      <c r="A3" s="2" t="s">
        <v>1</v>
      </c>
      <c r="B3" s="3" t="s">
        <v>2</v>
      </c>
    </row>
    <row r="4" customFormat="false" ht="60" hidden="false" customHeight="true" outlineLevel="0" collapsed="false">
      <c r="A4" s="2" t="s">
        <v>3</v>
      </c>
      <c r="B4" s="3" t="s">
        <v>4</v>
      </c>
    </row>
    <row r="5" customFormat="false" ht="60" hidden="false" customHeight="true" outlineLevel="0" collapsed="false">
      <c r="A5" s="2" t="s">
        <v>5</v>
      </c>
      <c r="B5" s="3" t="s">
        <v>6</v>
      </c>
    </row>
    <row r="6" customFormat="false" ht="60" hidden="false" customHeight="true" outlineLevel="0" collapsed="false">
      <c r="A6" s="2" t="s">
        <v>7</v>
      </c>
      <c r="B6" s="3" t="s">
        <v>8</v>
      </c>
    </row>
    <row r="7" customFormat="false" ht="60" hidden="false" customHeight="true" outlineLevel="0" collapsed="false">
      <c r="A7" s="2" t="s">
        <v>9</v>
      </c>
      <c r="B7" s="3" t="s">
        <v>10</v>
      </c>
    </row>
    <row r="8" customFormat="false" ht="60" hidden="false" customHeight="true" outlineLevel="0" collapsed="false">
      <c r="A8" s="2" t="s">
        <v>11</v>
      </c>
      <c r="B8" s="3" t="s">
        <v>12</v>
      </c>
    </row>
    <row r="9" customFormat="false" ht="60" hidden="false" customHeight="true" outlineLevel="0" collapsed="false">
      <c r="A9" s="2" t="s">
        <v>13</v>
      </c>
      <c r="B9" s="3" t="s">
        <v>14</v>
      </c>
    </row>
    <row r="10" customFormat="false" ht="60" hidden="false" customHeight="true" outlineLevel="0" collapsed="false">
      <c r="A10" s="2" t="s">
        <v>15</v>
      </c>
      <c r="B1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17</v>
      </c>
    </row>
    <row r="2" customFormat="false" ht="15" hidden="false" customHeight="false" outlineLevel="0" collapsed="false">
      <c r="A2" s="4" t="s">
        <v>18</v>
      </c>
    </row>
    <row r="4" customFormat="false" ht="15" hidden="false" customHeight="false" outlineLevel="0" collapsed="false">
      <c r="A4" s="2" t="s">
        <v>19</v>
      </c>
      <c r="B4" s="2"/>
      <c r="C4" s="2" t="s">
        <v>20</v>
      </c>
      <c r="D4" s="2"/>
    </row>
    <row r="5" customFormat="false" ht="19.7" hidden="false" customHeight="false" outlineLevel="0" collapsed="false">
      <c r="A5" s="5" t="n">
        <f aca="false">COUNTA('REGISTRO DE ENVIOS'!A4:A63)</f>
        <v>60</v>
      </c>
      <c r="B5" s="5"/>
      <c r="C5" s="6" t="n">
        <f aca="false">SUM('REGISTRO DE ENVIOS'!N4:N63)</f>
        <v>1385.5692</v>
      </c>
      <c r="D5" s="6"/>
    </row>
    <row r="8" customFormat="false" ht="15" hidden="false" customHeight="false" outlineLevel="0" collapsed="false">
      <c r="A8" s="2" t="s">
        <v>21</v>
      </c>
      <c r="B8" s="2"/>
      <c r="C8" s="2" t="s">
        <v>22</v>
      </c>
      <c r="D8" s="2"/>
    </row>
    <row r="9" customFormat="false" ht="19.7" hidden="false" customHeight="false" outlineLevel="0" collapsed="false">
      <c r="A9" s="6" t="n">
        <f aca="false">SUM('REGISTRO DE ENVIOS'!O4:O63)</f>
        <v>1417.25</v>
      </c>
      <c r="B9" s="6"/>
      <c r="C9" s="6" t="n">
        <f aca="false">SUM('REGISTRO DE ENVIOS'!P4:P63)</f>
        <v>31.6808</v>
      </c>
      <c r="D9" s="6"/>
    </row>
    <row r="12" customFormat="false" ht="15" hidden="false" customHeight="false" outlineLevel="0" collapsed="false">
      <c r="A12" s="2" t="s">
        <v>23</v>
      </c>
      <c r="B12" s="2"/>
      <c r="C12" s="2" t="s">
        <v>24</v>
      </c>
      <c r="D12" s="2"/>
    </row>
    <row r="13" customFormat="false" ht="19.7" hidden="false" customHeight="false" outlineLevel="0" collapsed="false">
      <c r="A13" s="5" t="n">
        <f aca="false">COUNTIF('REGISTRO DE ENVIOS'!R4:R63,"⚠ Revisar")</f>
        <v>9</v>
      </c>
      <c r="B13" s="5"/>
      <c r="C13" s="5" t="n">
        <f aca="false">COUNTIF('REGISTRO DE ENVIOS'!R4:R63,"✅ Correcto")</f>
        <v>51</v>
      </c>
      <c r="D13" s="5"/>
    </row>
    <row r="16" customFormat="false" ht="15" hidden="false" customHeight="false" outlineLevel="0" collapsed="false">
      <c r="A16" s="2" t="s">
        <v>25</v>
      </c>
      <c r="B16" s="2"/>
      <c r="C16" s="2" t="s">
        <v>26</v>
      </c>
      <c r="D16" s="2"/>
    </row>
    <row r="17" customFormat="false" ht="19.7" hidden="false" customHeight="false" outlineLevel="0" collapsed="false">
      <c r="A17" s="7" t="n">
        <f aca="false">COUNTIF('REGISTRO DE ENVIOS'!R4:R63,"⚠ Revisar")/COUNTA('REGISTRO DE ENVIOS'!A4:A63)</f>
        <v>0.15</v>
      </c>
      <c r="B17" s="7"/>
      <c r="C17" s="6" t="n">
        <f aca="false">IFERROR(SUMIF('REGISTRO DE ENVIOS'!R4:R63,"⚠ Revisar",'REGISTRO DE ENVIOS'!P4:P63)/COUNTIF('REGISTRO DE ENVIOS'!R4:R63,"⚠ Revisar"),0)</f>
        <v>3.57304444444445</v>
      </c>
      <c r="D17" s="6"/>
    </row>
    <row r="21" customFormat="false" ht="15" hidden="false" customHeight="false" outlineLevel="0" collapsed="false">
      <c r="A21" s="8" t="s">
        <v>27</v>
      </c>
    </row>
    <row r="22" customFormat="false" ht="23.85" hidden="false" customHeight="false" outlineLevel="0" collapsed="false">
      <c r="A22" s="9" t="s">
        <v>28</v>
      </c>
      <c r="B22" s="9" t="s">
        <v>29</v>
      </c>
      <c r="C22" s="9" t="s">
        <v>30</v>
      </c>
      <c r="D22" s="9" t="s">
        <v>31</v>
      </c>
      <c r="E22" s="9" t="s">
        <v>32</v>
      </c>
    </row>
    <row r="23" customFormat="false" ht="15" hidden="false" customHeight="false" outlineLevel="0" collapsed="false">
      <c r="A23" s="10" t="s">
        <v>33</v>
      </c>
      <c r="B23" s="10" t="n">
        <f aca="false">COUNTIF('REGISTRO DE ENVIOS'!C4:C63,A23)</f>
        <v>13</v>
      </c>
      <c r="C23" s="11" t="n">
        <f aca="false">SUMIF('REGISTRO DE ENVIOS'!C4:C63,A23,'REGISTRO DE ENVIOS'!N4:N63)</f>
        <v>280.9316</v>
      </c>
      <c r="D23" s="11" t="n">
        <f aca="false">SUMIF('REGISTRO DE ENVIOS'!C4:C63,A23,'REGISTRO DE ENVIOS'!O4:O63)</f>
        <v>293.07</v>
      </c>
      <c r="E23" s="11" t="n">
        <f aca="false">D23-C23</f>
        <v>12.1384</v>
      </c>
    </row>
    <row r="24" customFormat="false" ht="15" hidden="false" customHeight="false" outlineLevel="0" collapsed="false">
      <c r="A24" s="10" t="s">
        <v>34</v>
      </c>
      <c r="B24" s="10" t="n">
        <f aca="false">COUNTIF('REGISTRO DE ENVIOS'!C4:C63,A24)</f>
        <v>13</v>
      </c>
      <c r="C24" s="11" t="n">
        <f aca="false">SUMIF('REGISTRO DE ENVIOS'!C4:C63,A24,'REGISTRO DE ENVIOS'!N4:N63)</f>
        <v>211.8052</v>
      </c>
      <c r="D24" s="11" t="n">
        <f aca="false">SUMIF('REGISTRO DE ENVIOS'!C4:C63,A24,'REGISTRO DE ENVIOS'!O4:O63)</f>
        <v>216.64</v>
      </c>
      <c r="E24" s="11" t="n">
        <f aca="false">D24-C24</f>
        <v>4.83479999999997</v>
      </c>
    </row>
    <row r="25" customFormat="false" ht="15" hidden="false" customHeight="false" outlineLevel="0" collapsed="false">
      <c r="A25" s="10" t="s">
        <v>35</v>
      </c>
      <c r="B25" s="10" t="n">
        <f aca="false">COUNTIF('REGISTRO DE ENVIOS'!C4:C63,A25)</f>
        <v>13</v>
      </c>
      <c r="C25" s="11" t="n">
        <f aca="false">SUMIF('REGISTRO DE ENVIOS'!C4:C63,A25,'REGISTRO DE ENVIOS'!N4:N63)</f>
        <v>235.877</v>
      </c>
      <c r="D25" s="11" t="n">
        <f aca="false">SUMIF('REGISTRO DE ENVIOS'!C4:C63,A25,'REGISTRO DE ENVIOS'!O4:O63)</f>
        <v>242.61</v>
      </c>
      <c r="E25" s="11" t="n">
        <f aca="false">D25-C25</f>
        <v>6.73299999999998</v>
      </c>
    </row>
    <row r="26" customFormat="false" ht="15" hidden="false" customHeight="false" outlineLevel="0" collapsed="false">
      <c r="A26" s="10" t="s">
        <v>36</v>
      </c>
      <c r="B26" s="10" t="n">
        <f aca="false">COUNTIF('REGISTRO DE ENVIOS'!C4:C63,A26)</f>
        <v>11</v>
      </c>
      <c r="C26" s="11" t="n">
        <f aca="false">SUMIF('REGISTRO DE ENVIOS'!C4:C63,A26,'REGISTRO DE ENVIOS'!N4:N63)</f>
        <v>369.4238</v>
      </c>
      <c r="D26" s="11" t="n">
        <f aca="false">SUMIF('REGISTRO DE ENVIOS'!C4:C63,A26,'REGISTRO DE ENVIOS'!O4:O63)</f>
        <v>377.64</v>
      </c>
      <c r="E26" s="11" t="n">
        <f aca="false">D26-C26</f>
        <v>8.21620000000002</v>
      </c>
    </row>
    <row r="27" customFormat="false" ht="15" hidden="false" customHeight="false" outlineLevel="0" collapsed="false">
      <c r="A27" s="10" t="s">
        <v>37</v>
      </c>
      <c r="B27" s="10" t="n">
        <f aca="false">COUNTIF('REGISTRO DE ENVIOS'!C4:C63,A27)</f>
        <v>10</v>
      </c>
      <c r="C27" s="11" t="n">
        <f aca="false">SUMIF('REGISTRO DE ENVIOS'!C4:C63,A27,'REGISTRO DE ENVIOS'!N4:N63)</f>
        <v>287.5316</v>
      </c>
      <c r="D27" s="11" t="n">
        <f aca="false">SUMIF('REGISTRO DE ENVIOS'!C4:C63,A27,'REGISTRO DE ENVIOS'!O4:O63)</f>
        <v>287.29</v>
      </c>
      <c r="E27" s="11" t="n">
        <f aca="false">D27-C27</f>
        <v>-0.241600000000005</v>
      </c>
    </row>
    <row r="29" customFormat="false" ht="15" hidden="false" customHeight="false" outlineLevel="0" collapsed="false">
      <c r="G29" s="8" t="s">
        <v>38</v>
      </c>
      <c r="H29" s="8" t="s">
        <v>29</v>
      </c>
    </row>
    <row r="30" customFormat="false" ht="15" hidden="false" customHeight="false" outlineLevel="0" collapsed="false">
      <c r="G30" s="0" t="s">
        <v>39</v>
      </c>
      <c r="H30" s="0" t="n">
        <f aca="false">COUNTIF('REGISTRO DE ENVIOS'!R4:R63,"✅ Correcto")</f>
        <v>51</v>
      </c>
    </row>
    <row r="31" customFormat="false" ht="15" hidden="false" customHeight="false" outlineLevel="0" collapsed="false">
      <c r="G31" s="0" t="s">
        <v>40</v>
      </c>
      <c r="H31" s="0" t="n">
        <f aca="false">COUNTIF('REGISTRO DE ENVIOS'!R4:R63,"⚠ Revisar")</f>
        <v>9</v>
      </c>
    </row>
  </sheetData>
  <mergeCells count="16">
    <mergeCell ref="A4:B4"/>
    <mergeCell ref="C4:D4"/>
    <mergeCell ref="A5:B5"/>
    <mergeCell ref="C5:D5"/>
    <mergeCell ref="A8:B8"/>
    <mergeCell ref="C8:D8"/>
    <mergeCell ref="A9:B9"/>
    <mergeCell ref="C9:D9"/>
    <mergeCell ref="A12:B12"/>
    <mergeCell ref="C12:D12"/>
    <mergeCell ref="A13:B13"/>
    <mergeCell ref="C13:D13"/>
    <mergeCell ref="A16:B16"/>
    <mergeCell ref="C16:D16"/>
    <mergeCell ref="A17:B17"/>
    <mergeCell ref="C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65"/>
  </cols>
  <sheetData>
    <row r="1" customFormat="false" ht="19.7" hidden="false" customHeight="false" outlineLevel="0" collapsed="false">
      <c r="A1" s="1" t="s">
        <v>41</v>
      </c>
    </row>
    <row r="3" customFormat="false" ht="15" hidden="false" customHeight="false" outlineLevel="0" collapsed="false">
      <c r="A3" s="9" t="s">
        <v>42</v>
      </c>
      <c r="B3" s="9" t="s">
        <v>43</v>
      </c>
      <c r="C3" s="9" t="s">
        <v>44</v>
      </c>
    </row>
    <row r="4" customFormat="false" ht="15" hidden="false" customHeight="false" outlineLevel="0" collapsed="false">
      <c r="A4" s="12" t="s">
        <v>45</v>
      </c>
      <c r="B4" s="13" t="s">
        <v>46</v>
      </c>
      <c r="C4" s="4" t="s">
        <v>47</v>
      </c>
    </row>
    <row r="5" customFormat="false" ht="15" hidden="false" customHeight="false" outlineLevel="0" collapsed="false">
      <c r="A5" s="12" t="s">
        <v>48</v>
      </c>
      <c r="B5" s="13" t="n">
        <v>5000</v>
      </c>
      <c r="C5" s="4" t="s">
        <v>49</v>
      </c>
    </row>
    <row r="6" customFormat="false" ht="15" hidden="false" customHeight="false" outlineLevel="0" collapsed="false">
      <c r="A6" s="12" t="s">
        <v>50</v>
      </c>
      <c r="B6" s="14" t="n">
        <v>0.02</v>
      </c>
      <c r="C6" s="4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42"/>
  </cols>
  <sheetData>
    <row r="1" customFormat="false" ht="19.7" hidden="false" customHeight="false" outlineLevel="0" collapsed="false">
      <c r="A1" s="1" t="s">
        <v>52</v>
      </c>
    </row>
    <row r="3" customFormat="false" ht="23.85" hidden="false" customHeight="false" outlineLevel="0" collapsed="false">
      <c r="A3" s="9" t="s">
        <v>28</v>
      </c>
      <c r="B3" s="9" t="s">
        <v>53</v>
      </c>
      <c r="C3" s="9" t="s">
        <v>54</v>
      </c>
      <c r="D3" s="9" t="s">
        <v>55</v>
      </c>
      <c r="E3" s="9" t="s">
        <v>56</v>
      </c>
      <c r="F3" s="9" t="s">
        <v>44</v>
      </c>
    </row>
    <row r="4" customFormat="false" ht="15" hidden="false" customHeight="false" outlineLevel="0" collapsed="false">
      <c r="A4" s="13" t="s">
        <v>33</v>
      </c>
      <c r="B4" s="13" t="s">
        <v>57</v>
      </c>
      <c r="C4" s="13" t="s">
        <v>58</v>
      </c>
      <c r="D4" s="14" t="n">
        <v>0.16</v>
      </c>
      <c r="E4" s="15" t="n">
        <v>0.35</v>
      </c>
      <c r="F4" s="13" t="s">
        <v>59</v>
      </c>
    </row>
    <row r="5" customFormat="false" ht="15" hidden="false" customHeight="false" outlineLevel="0" collapsed="false">
      <c r="A5" s="13" t="s">
        <v>34</v>
      </c>
      <c r="B5" s="13" t="s">
        <v>60</v>
      </c>
      <c r="C5" s="13" t="s">
        <v>61</v>
      </c>
      <c r="D5" s="14" t="n">
        <v>0.12</v>
      </c>
      <c r="E5" s="15" t="n">
        <v>0.25</v>
      </c>
      <c r="F5" s="13"/>
    </row>
    <row r="6" customFormat="false" ht="15" hidden="false" customHeight="false" outlineLevel="0" collapsed="false">
      <c r="A6" s="13" t="s">
        <v>35</v>
      </c>
      <c r="B6" s="13" t="s">
        <v>62</v>
      </c>
      <c r="C6" s="13" t="s">
        <v>63</v>
      </c>
      <c r="D6" s="14" t="n">
        <v>0.1</v>
      </c>
      <c r="E6" s="15" t="n">
        <v>0.2</v>
      </c>
      <c r="F6" s="13"/>
    </row>
    <row r="7" customFormat="false" ht="15" hidden="false" customHeight="false" outlineLevel="0" collapsed="false">
      <c r="A7" s="13" t="s">
        <v>36</v>
      </c>
      <c r="B7" s="13" t="s">
        <v>64</v>
      </c>
      <c r="C7" s="13" t="s">
        <v>65</v>
      </c>
      <c r="D7" s="14" t="n">
        <v>0.18</v>
      </c>
      <c r="E7" s="15" t="n">
        <v>0.5</v>
      </c>
      <c r="F7" s="13" t="s">
        <v>66</v>
      </c>
    </row>
    <row r="8" customFormat="false" ht="15" hidden="false" customHeight="false" outlineLevel="0" collapsed="false">
      <c r="A8" s="13" t="s">
        <v>37</v>
      </c>
      <c r="B8" s="13" t="s">
        <v>67</v>
      </c>
      <c r="C8" s="13" t="s">
        <v>68</v>
      </c>
      <c r="D8" s="14" t="n">
        <v>0.17</v>
      </c>
      <c r="E8" s="15" t="n">
        <v>0.5</v>
      </c>
      <c r="F8" s="13"/>
    </row>
    <row r="11" customFormat="false" ht="15" hidden="false" customHeight="false" outlineLevel="0" collapsed="false">
      <c r="A11" s="4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4" min="3" style="0" width="16"/>
    <col collapsed="false" customWidth="true" hidden="false" outlineLevel="0" max="5" min="5" style="0" width="14"/>
  </cols>
  <sheetData>
    <row r="1" customFormat="false" ht="19.7" hidden="false" customHeight="false" outlineLevel="0" collapsed="false">
      <c r="A1" s="1" t="s">
        <v>70</v>
      </c>
      <c r="G1" s="4" t="s">
        <v>71</v>
      </c>
    </row>
    <row r="3" customFormat="false" ht="15" hidden="false" customHeight="false" outlineLevel="0" collapsed="false">
      <c r="A3" s="9" t="s">
        <v>28</v>
      </c>
      <c r="B3" s="9" t="s">
        <v>72</v>
      </c>
      <c r="C3" s="9" t="s">
        <v>73</v>
      </c>
      <c r="D3" s="9" t="s">
        <v>74</v>
      </c>
      <c r="E3" s="9" t="s">
        <v>75</v>
      </c>
    </row>
    <row r="4" customFormat="false" ht="15" hidden="false" customHeight="false" outlineLevel="0" collapsed="false">
      <c r="A4" s="16" t="s">
        <v>33</v>
      </c>
      <c r="B4" s="16" t="s">
        <v>76</v>
      </c>
      <c r="C4" s="16" t="n">
        <v>0</v>
      </c>
      <c r="D4" s="16" t="n">
        <v>1</v>
      </c>
      <c r="E4" s="17" t="n">
        <v>4.79</v>
      </c>
    </row>
    <row r="5" customFormat="false" ht="15" hidden="false" customHeight="false" outlineLevel="0" collapsed="false">
      <c r="A5" s="16" t="s">
        <v>33</v>
      </c>
      <c r="B5" s="16" t="s">
        <v>76</v>
      </c>
      <c r="C5" s="16" t="n">
        <v>1</v>
      </c>
      <c r="D5" s="16" t="n">
        <v>3</v>
      </c>
      <c r="E5" s="17" t="n">
        <v>5.96</v>
      </c>
    </row>
    <row r="6" customFormat="false" ht="15" hidden="false" customHeight="false" outlineLevel="0" collapsed="false">
      <c r="A6" s="16" t="s">
        <v>33</v>
      </c>
      <c r="B6" s="16" t="s">
        <v>76</v>
      </c>
      <c r="C6" s="16" t="n">
        <v>3</v>
      </c>
      <c r="D6" s="16" t="n">
        <v>5</v>
      </c>
      <c r="E6" s="17" t="n">
        <v>7.14</v>
      </c>
    </row>
    <row r="7" customFormat="false" ht="15" hidden="false" customHeight="false" outlineLevel="0" collapsed="false">
      <c r="A7" s="16" t="s">
        <v>33</v>
      </c>
      <c r="B7" s="16" t="s">
        <v>76</v>
      </c>
      <c r="C7" s="16" t="n">
        <v>5</v>
      </c>
      <c r="D7" s="16" t="n">
        <v>10</v>
      </c>
      <c r="E7" s="17" t="n">
        <v>10.08</v>
      </c>
    </row>
    <row r="8" customFormat="false" ht="15" hidden="false" customHeight="false" outlineLevel="0" collapsed="false">
      <c r="A8" s="16" t="s">
        <v>33</v>
      </c>
      <c r="B8" s="16" t="s">
        <v>76</v>
      </c>
      <c r="C8" s="16" t="n">
        <v>10</v>
      </c>
      <c r="D8" s="16" t="n">
        <v>20</v>
      </c>
      <c r="E8" s="17" t="n">
        <v>15.96</v>
      </c>
    </row>
    <row r="9" customFormat="false" ht="15" hidden="false" customHeight="false" outlineLevel="0" collapsed="false">
      <c r="A9" s="16" t="s">
        <v>33</v>
      </c>
      <c r="B9" s="16" t="s">
        <v>76</v>
      </c>
      <c r="C9" s="16" t="n">
        <v>20</v>
      </c>
      <c r="D9" s="16" t="n">
        <v>31.5</v>
      </c>
      <c r="E9" s="17" t="n">
        <v>22.72</v>
      </c>
    </row>
    <row r="10" customFormat="false" ht="15" hidden="false" customHeight="false" outlineLevel="0" collapsed="false">
      <c r="A10" s="16" t="s">
        <v>33</v>
      </c>
      <c r="B10" s="16" t="s">
        <v>77</v>
      </c>
      <c r="C10" s="16" t="n">
        <v>0</v>
      </c>
      <c r="D10" s="16" t="n">
        <v>1</v>
      </c>
      <c r="E10" s="17" t="n">
        <v>6.46</v>
      </c>
    </row>
    <row r="11" customFormat="false" ht="15" hidden="false" customHeight="false" outlineLevel="0" collapsed="false">
      <c r="A11" s="16" t="s">
        <v>33</v>
      </c>
      <c r="B11" s="16" t="s">
        <v>77</v>
      </c>
      <c r="C11" s="16" t="n">
        <v>1</v>
      </c>
      <c r="D11" s="16" t="n">
        <v>3</v>
      </c>
      <c r="E11" s="17" t="n">
        <v>8.05</v>
      </c>
    </row>
    <row r="12" customFormat="false" ht="15" hidden="false" customHeight="false" outlineLevel="0" collapsed="false">
      <c r="A12" s="16" t="s">
        <v>33</v>
      </c>
      <c r="B12" s="16" t="s">
        <v>77</v>
      </c>
      <c r="C12" s="16" t="n">
        <v>3</v>
      </c>
      <c r="D12" s="16" t="n">
        <v>5</v>
      </c>
      <c r="E12" s="17" t="n">
        <v>9.64</v>
      </c>
    </row>
    <row r="13" customFormat="false" ht="15" hidden="false" customHeight="false" outlineLevel="0" collapsed="false">
      <c r="A13" s="16" t="s">
        <v>33</v>
      </c>
      <c r="B13" s="16" t="s">
        <v>77</v>
      </c>
      <c r="C13" s="16" t="n">
        <v>5</v>
      </c>
      <c r="D13" s="16" t="n">
        <v>10</v>
      </c>
      <c r="E13" s="17" t="n">
        <v>13.61</v>
      </c>
    </row>
    <row r="14" customFormat="false" ht="15" hidden="false" customHeight="false" outlineLevel="0" collapsed="false">
      <c r="A14" s="16" t="s">
        <v>33</v>
      </c>
      <c r="B14" s="16" t="s">
        <v>77</v>
      </c>
      <c r="C14" s="16" t="n">
        <v>10</v>
      </c>
      <c r="D14" s="16" t="n">
        <v>20</v>
      </c>
      <c r="E14" s="17" t="n">
        <v>21.55</v>
      </c>
    </row>
    <row r="15" customFormat="false" ht="15" hidden="false" customHeight="false" outlineLevel="0" collapsed="false">
      <c r="A15" s="16" t="s">
        <v>33</v>
      </c>
      <c r="B15" s="16" t="s">
        <v>77</v>
      </c>
      <c r="C15" s="16" t="n">
        <v>20</v>
      </c>
      <c r="D15" s="16" t="n">
        <v>31.5</v>
      </c>
      <c r="E15" s="17" t="n">
        <v>30.67</v>
      </c>
    </row>
    <row r="16" customFormat="false" ht="15" hidden="false" customHeight="false" outlineLevel="0" collapsed="false">
      <c r="A16" s="16" t="s">
        <v>33</v>
      </c>
      <c r="B16" s="16" t="s">
        <v>78</v>
      </c>
      <c r="C16" s="16" t="n">
        <v>0</v>
      </c>
      <c r="D16" s="16" t="n">
        <v>1</v>
      </c>
      <c r="E16" s="17" t="n">
        <v>7.66</v>
      </c>
    </row>
    <row r="17" customFormat="false" ht="15" hidden="false" customHeight="false" outlineLevel="0" collapsed="false">
      <c r="A17" s="16" t="s">
        <v>33</v>
      </c>
      <c r="B17" s="16" t="s">
        <v>78</v>
      </c>
      <c r="C17" s="16" t="n">
        <v>1</v>
      </c>
      <c r="D17" s="16" t="n">
        <v>3</v>
      </c>
      <c r="E17" s="17" t="n">
        <v>9.54</v>
      </c>
    </row>
    <row r="18" customFormat="false" ht="15" hidden="false" customHeight="false" outlineLevel="0" collapsed="false">
      <c r="A18" s="16" t="s">
        <v>33</v>
      </c>
      <c r="B18" s="16" t="s">
        <v>78</v>
      </c>
      <c r="C18" s="16" t="n">
        <v>3</v>
      </c>
      <c r="D18" s="16" t="n">
        <v>5</v>
      </c>
      <c r="E18" s="17" t="n">
        <v>11.42</v>
      </c>
    </row>
    <row r="19" customFormat="false" ht="15" hidden="false" customHeight="false" outlineLevel="0" collapsed="false">
      <c r="A19" s="16" t="s">
        <v>33</v>
      </c>
      <c r="B19" s="16" t="s">
        <v>78</v>
      </c>
      <c r="C19" s="16" t="n">
        <v>5</v>
      </c>
      <c r="D19" s="16" t="n">
        <v>10</v>
      </c>
      <c r="E19" s="17" t="n">
        <v>16.13</v>
      </c>
    </row>
    <row r="20" customFormat="false" ht="15" hidden="false" customHeight="false" outlineLevel="0" collapsed="false">
      <c r="A20" s="16" t="s">
        <v>33</v>
      </c>
      <c r="B20" s="16" t="s">
        <v>78</v>
      </c>
      <c r="C20" s="16" t="n">
        <v>10</v>
      </c>
      <c r="D20" s="16" t="n">
        <v>20</v>
      </c>
      <c r="E20" s="17" t="n">
        <v>25.54</v>
      </c>
    </row>
    <row r="21" customFormat="false" ht="15" hidden="false" customHeight="false" outlineLevel="0" collapsed="false">
      <c r="A21" s="16" t="s">
        <v>33</v>
      </c>
      <c r="B21" s="16" t="s">
        <v>78</v>
      </c>
      <c r="C21" s="16" t="n">
        <v>20</v>
      </c>
      <c r="D21" s="16" t="n">
        <v>31.5</v>
      </c>
      <c r="E21" s="17" t="n">
        <v>36.36</v>
      </c>
    </row>
    <row r="22" customFormat="false" ht="15" hidden="false" customHeight="false" outlineLevel="0" collapsed="false">
      <c r="A22" s="16" t="s">
        <v>33</v>
      </c>
      <c r="B22" s="16" t="s">
        <v>79</v>
      </c>
      <c r="C22" s="16" t="n">
        <v>0</v>
      </c>
      <c r="D22" s="16" t="n">
        <v>1</v>
      </c>
      <c r="E22" s="17" t="n">
        <v>8.62</v>
      </c>
    </row>
    <row r="23" customFormat="false" ht="15" hidden="false" customHeight="false" outlineLevel="0" collapsed="false">
      <c r="A23" s="16" t="s">
        <v>33</v>
      </c>
      <c r="B23" s="16" t="s">
        <v>79</v>
      </c>
      <c r="C23" s="16" t="n">
        <v>1</v>
      </c>
      <c r="D23" s="16" t="n">
        <v>3</v>
      </c>
      <c r="E23" s="17" t="n">
        <v>10.74</v>
      </c>
    </row>
    <row r="24" customFormat="false" ht="15" hidden="false" customHeight="false" outlineLevel="0" collapsed="false">
      <c r="A24" s="16" t="s">
        <v>33</v>
      </c>
      <c r="B24" s="16" t="s">
        <v>79</v>
      </c>
      <c r="C24" s="16" t="n">
        <v>3</v>
      </c>
      <c r="D24" s="16" t="n">
        <v>5</v>
      </c>
      <c r="E24" s="17" t="n">
        <v>12.85</v>
      </c>
    </row>
    <row r="25" customFormat="false" ht="15" hidden="false" customHeight="false" outlineLevel="0" collapsed="false">
      <c r="A25" s="16" t="s">
        <v>33</v>
      </c>
      <c r="B25" s="16" t="s">
        <v>79</v>
      </c>
      <c r="C25" s="16" t="n">
        <v>5</v>
      </c>
      <c r="D25" s="16" t="n">
        <v>10</v>
      </c>
      <c r="E25" s="17" t="n">
        <v>18.14</v>
      </c>
    </row>
    <row r="26" customFormat="false" ht="15" hidden="false" customHeight="false" outlineLevel="0" collapsed="false">
      <c r="A26" s="16" t="s">
        <v>33</v>
      </c>
      <c r="B26" s="16" t="s">
        <v>79</v>
      </c>
      <c r="C26" s="16" t="n">
        <v>10</v>
      </c>
      <c r="D26" s="16" t="n">
        <v>20</v>
      </c>
      <c r="E26" s="17" t="n">
        <v>28.73</v>
      </c>
    </row>
    <row r="27" customFormat="false" ht="15" hidden="false" customHeight="false" outlineLevel="0" collapsed="false">
      <c r="A27" s="16" t="s">
        <v>33</v>
      </c>
      <c r="B27" s="16" t="s">
        <v>79</v>
      </c>
      <c r="C27" s="16" t="n">
        <v>20</v>
      </c>
      <c r="D27" s="16" t="n">
        <v>31.5</v>
      </c>
      <c r="E27" s="17" t="n">
        <v>40.9</v>
      </c>
    </row>
    <row r="28" customFormat="false" ht="15" hidden="false" customHeight="false" outlineLevel="0" collapsed="false">
      <c r="A28" s="16" t="s">
        <v>33</v>
      </c>
      <c r="B28" s="16" t="s">
        <v>80</v>
      </c>
      <c r="C28" s="16" t="n">
        <v>0</v>
      </c>
      <c r="D28" s="16" t="n">
        <v>1</v>
      </c>
      <c r="E28" s="17" t="n">
        <v>11.49</v>
      </c>
    </row>
    <row r="29" customFormat="false" ht="15" hidden="false" customHeight="false" outlineLevel="0" collapsed="false">
      <c r="A29" s="16" t="s">
        <v>33</v>
      </c>
      <c r="B29" s="16" t="s">
        <v>80</v>
      </c>
      <c r="C29" s="16" t="n">
        <v>1</v>
      </c>
      <c r="D29" s="16" t="n">
        <v>3</v>
      </c>
      <c r="E29" s="17" t="n">
        <v>14.31</v>
      </c>
    </row>
    <row r="30" customFormat="false" ht="15" hidden="false" customHeight="false" outlineLevel="0" collapsed="false">
      <c r="A30" s="16" t="s">
        <v>33</v>
      </c>
      <c r="B30" s="16" t="s">
        <v>80</v>
      </c>
      <c r="C30" s="16" t="n">
        <v>3</v>
      </c>
      <c r="D30" s="16" t="n">
        <v>5</v>
      </c>
      <c r="E30" s="17" t="n">
        <v>17.14</v>
      </c>
    </row>
    <row r="31" customFormat="false" ht="15" hidden="false" customHeight="false" outlineLevel="0" collapsed="false">
      <c r="A31" s="16" t="s">
        <v>33</v>
      </c>
      <c r="B31" s="16" t="s">
        <v>80</v>
      </c>
      <c r="C31" s="16" t="n">
        <v>5</v>
      </c>
      <c r="D31" s="16" t="n">
        <v>10</v>
      </c>
      <c r="E31" s="17" t="n">
        <v>24.19</v>
      </c>
    </row>
    <row r="32" customFormat="false" ht="15" hidden="false" customHeight="false" outlineLevel="0" collapsed="false">
      <c r="A32" s="16" t="s">
        <v>33</v>
      </c>
      <c r="B32" s="16" t="s">
        <v>80</v>
      </c>
      <c r="C32" s="16" t="n">
        <v>10</v>
      </c>
      <c r="D32" s="16" t="n">
        <v>20</v>
      </c>
      <c r="E32" s="17" t="n">
        <v>38.3</v>
      </c>
    </row>
    <row r="33" customFormat="false" ht="15" hidden="false" customHeight="false" outlineLevel="0" collapsed="false">
      <c r="A33" s="16" t="s">
        <v>33</v>
      </c>
      <c r="B33" s="16" t="s">
        <v>80</v>
      </c>
      <c r="C33" s="16" t="n">
        <v>20</v>
      </c>
      <c r="D33" s="16" t="n">
        <v>31.5</v>
      </c>
      <c r="E33" s="17" t="n">
        <v>54.53</v>
      </c>
    </row>
    <row r="34" customFormat="false" ht="15" hidden="false" customHeight="false" outlineLevel="0" collapsed="false">
      <c r="A34" s="16" t="s">
        <v>34</v>
      </c>
      <c r="B34" s="16" t="s">
        <v>76</v>
      </c>
      <c r="C34" s="16" t="n">
        <v>0</v>
      </c>
      <c r="D34" s="16" t="n">
        <v>1</v>
      </c>
      <c r="E34" s="17" t="n">
        <v>4.1</v>
      </c>
    </row>
    <row r="35" customFormat="false" ht="15" hidden="false" customHeight="false" outlineLevel="0" collapsed="false">
      <c r="A35" s="16" t="s">
        <v>34</v>
      </c>
      <c r="B35" s="16" t="s">
        <v>76</v>
      </c>
      <c r="C35" s="16" t="n">
        <v>1</v>
      </c>
      <c r="D35" s="16" t="n">
        <v>3</v>
      </c>
      <c r="E35" s="17" t="n">
        <v>5.11</v>
      </c>
    </row>
    <row r="36" customFormat="false" ht="15" hidden="false" customHeight="false" outlineLevel="0" collapsed="false">
      <c r="A36" s="16" t="s">
        <v>34</v>
      </c>
      <c r="B36" s="16" t="s">
        <v>76</v>
      </c>
      <c r="C36" s="16" t="n">
        <v>3</v>
      </c>
      <c r="D36" s="16" t="n">
        <v>5</v>
      </c>
      <c r="E36" s="17" t="n">
        <v>6.12</v>
      </c>
    </row>
    <row r="37" customFormat="false" ht="15" hidden="false" customHeight="false" outlineLevel="0" collapsed="false">
      <c r="A37" s="16" t="s">
        <v>34</v>
      </c>
      <c r="B37" s="16" t="s">
        <v>76</v>
      </c>
      <c r="C37" s="16" t="n">
        <v>5</v>
      </c>
      <c r="D37" s="16" t="n">
        <v>10</v>
      </c>
      <c r="E37" s="17" t="n">
        <v>8.64</v>
      </c>
    </row>
    <row r="38" customFormat="false" ht="15" hidden="false" customHeight="false" outlineLevel="0" collapsed="false">
      <c r="A38" s="16" t="s">
        <v>34</v>
      </c>
      <c r="B38" s="16" t="s">
        <v>76</v>
      </c>
      <c r="C38" s="16" t="n">
        <v>10</v>
      </c>
      <c r="D38" s="16" t="n">
        <v>20</v>
      </c>
      <c r="E38" s="17" t="n">
        <v>13.68</v>
      </c>
    </row>
    <row r="39" customFormat="false" ht="15" hidden="false" customHeight="false" outlineLevel="0" collapsed="false">
      <c r="A39" s="16" t="s">
        <v>34</v>
      </c>
      <c r="B39" s="16" t="s">
        <v>76</v>
      </c>
      <c r="C39" s="16" t="n">
        <v>20</v>
      </c>
      <c r="D39" s="16" t="n">
        <v>31.5</v>
      </c>
      <c r="E39" s="17" t="n">
        <v>19.48</v>
      </c>
    </row>
    <row r="40" customFormat="false" ht="15" hidden="false" customHeight="false" outlineLevel="0" collapsed="false">
      <c r="A40" s="16" t="s">
        <v>34</v>
      </c>
      <c r="B40" s="16" t="s">
        <v>77</v>
      </c>
      <c r="C40" s="16" t="n">
        <v>0</v>
      </c>
      <c r="D40" s="16" t="n">
        <v>1</v>
      </c>
      <c r="E40" s="17" t="n">
        <v>5.54</v>
      </c>
    </row>
    <row r="41" customFormat="false" ht="15" hidden="false" customHeight="false" outlineLevel="0" collapsed="false">
      <c r="A41" s="16" t="s">
        <v>34</v>
      </c>
      <c r="B41" s="16" t="s">
        <v>77</v>
      </c>
      <c r="C41" s="16" t="n">
        <v>1</v>
      </c>
      <c r="D41" s="16" t="n">
        <v>3</v>
      </c>
      <c r="E41" s="17" t="n">
        <v>6.9</v>
      </c>
    </row>
    <row r="42" customFormat="false" ht="15" hidden="false" customHeight="false" outlineLevel="0" collapsed="false">
      <c r="A42" s="16" t="s">
        <v>34</v>
      </c>
      <c r="B42" s="16" t="s">
        <v>77</v>
      </c>
      <c r="C42" s="16" t="n">
        <v>3</v>
      </c>
      <c r="D42" s="16" t="n">
        <v>5</v>
      </c>
      <c r="E42" s="17" t="n">
        <v>8.26</v>
      </c>
    </row>
    <row r="43" customFormat="false" ht="15" hidden="false" customHeight="false" outlineLevel="0" collapsed="false">
      <c r="A43" s="16" t="s">
        <v>34</v>
      </c>
      <c r="B43" s="16" t="s">
        <v>77</v>
      </c>
      <c r="C43" s="16" t="n">
        <v>5</v>
      </c>
      <c r="D43" s="16" t="n">
        <v>10</v>
      </c>
      <c r="E43" s="17" t="n">
        <v>11.66</v>
      </c>
    </row>
    <row r="44" customFormat="false" ht="15" hidden="false" customHeight="false" outlineLevel="0" collapsed="false">
      <c r="A44" s="16" t="s">
        <v>34</v>
      </c>
      <c r="B44" s="16" t="s">
        <v>77</v>
      </c>
      <c r="C44" s="16" t="n">
        <v>10</v>
      </c>
      <c r="D44" s="16" t="n">
        <v>20</v>
      </c>
      <c r="E44" s="17" t="n">
        <v>18.47</v>
      </c>
    </row>
    <row r="45" customFormat="false" ht="15" hidden="false" customHeight="false" outlineLevel="0" collapsed="false">
      <c r="A45" s="16" t="s">
        <v>34</v>
      </c>
      <c r="B45" s="16" t="s">
        <v>77</v>
      </c>
      <c r="C45" s="16" t="n">
        <v>20</v>
      </c>
      <c r="D45" s="16" t="n">
        <v>31.5</v>
      </c>
      <c r="E45" s="17" t="n">
        <v>26.29</v>
      </c>
    </row>
    <row r="46" customFormat="false" ht="15" hidden="false" customHeight="false" outlineLevel="0" collapsed="false">
      <c r="A46" s="16" t="s">
        <v>34</v>
      </c>
      <c r="B46" s="16" t="s">
        <v>78</v>
      </c>
      <c r="C46" s="16" t="n">
        <v>0</v>
      </c>
      <c r="D46" s="16" t="n">
        <v>1</v>
      </c>
      <c r="E46" s="17" t="n">
        <v>6.57</v>
      </c>
    </row>
    <row r="47" customFormat="false" ht="15" hidden="false" customHeight="false" outlineLevel="0" collapsed="false">
      <c r="A47" s="16" t="s">
        <v>34</v>
      </c>
      <c r="B47" s="16" t="s">
        <v>78</v>
      </c>
      <c r="C47" s="16" t="n">
        <v>1</v>
      </c>
      <c r="D47" s="16" t="n">
        <v>3</v>
      </c>
      <c r="E47" s="17" t="n">
        <v>8.18</v>
      </c>
    </row>
    <row r="48" customFormat="false" ht="15" hidden="false" customHeight="false" outlineLevel="0" collapsed="false">
      <c r="A48" s="16" t="s">
        <v>34</v>
      </c>
      <c r="B48" s="16" t="s">
        <v>78</v>
      </c>
      <c r="C48" s="16" t="n">
        <v>3</v>
      </c>
      <c r="D48" s="16" t="n">
        <v>5</v>
      </c>
      <c r="E48" s="17" t="n">
        <v>9.79</v>
      </c>
    </row>
    <row r="49" customFormat="false" ht="15" hidden="false" customHeight="false" outlineLevel="0" collapsed="false">
      <c r="A49" s="16" t="s">
        <v>34</v>
      </c>
      <c r="B49" s="16" t="s">
        <v>78</v>
      </c>
      <c r="C49" s="16" t="n">
        <v>5</v>
      </c>
      <c r="D49" s="16" t="n">
        <v>10</v>
      </c>
      <c r="E49" s="17" t="n">
        <v>13.82</v>
      </c>
    </row>
    <row r="50" customFormat="false" ht="15" hidden="false" customHeight="false" outlineLevel="0" collapsed="false">
      <c r="A50" s="16" t="s">
        <v>34</v>
      </c>
      <c r="B50" s="16" t="s">
        <v>78</v>
      </c>
      <c r="C50" s="16" t="n">
        <v>10</v>
      </c>
      <c r="D50" s="16" t="n">
        <v>20</v>
      </c>
      <c r="E50" s="17" t="n">
        <v>21.89</v>
      </c>
    </row>
    <row r="51" customFormat="false" ht="15" hidden="false" customHeight="false" outlineLevel="0" collapsed="false">
      <c r="A51" s="16" t="s">
        <v>34</v>
      </c>
      <c r="B51" s="16" t="s">
        <v>78</v>
      </c>
      <c r="C51" s="16" t="n">
        <v>20</v>
      </c>
      <c r="D51" s="16" t="n">
        <v>31.5</v>
      </c>
      <c r="E51" s="17" t="n">
        <v>31.16</v>
      </c>
    </row>
    <row r="52" customFormat="false" ht="15" hidden="false" customHeight="false" outlineLevel="0" collapsed="false">
      <c r="A52" s="16" t="s">
        <v>34</v>
      </c>
      <c r="B52" s="16" t="s">
        <v>79</v>
      </c>
      <c r="C52" s="16" t="n">
        <v>0</v>
      </c>
      <c r="D52" s="16" t="n">
        <v>1</v>
      </c>
      <c r="E52" s="17" t="n">
        <v>7.39</v>
      </c>
    </row>
    <row r="53" customFormat="false" ht="15" hidden="false" customHeight="false" outlineLevel="0" collapsed="false">
      <c r="A53" s="16" t="s">
        <v>34</v>
      </c>
      <c r="B53" s="16" t="s">
        <v>79</v>
      </c>
      <c r="C53" s="16" t="n">
        <v>1</v>
      </c>
      <c r="D53" s="16" t="n">
        <v>3</v>
      </c>
      <c r="E53" s="17" t="n">
        <v>9.2</v>
      </c>
    </row>
    <row r="54" customFormat="false" ht="15" hidden="false" customHeight="false" outlineLevel="0" collapsed="false">
      <c r="A54" s="16" t="s">
        <v>34</v>
      </c>
      <c r="B54" s="16" t="s">
        <v>79</v>
      </c>
      <c r="C54" s="16" t="n">
        <v>3</v>
      </c>
      <c r="D54" s="16" t="n">
        <v>5</v>
      </c>
      <c r="E54" s="17" t="n">
        <v>11.02</v>
      </c>
    </row>
    <row r="55" customFormat="false" ht="15" hidden="false" customHeight="false" outlineLevel="0" collapsed="false">
      <c r="A55" s="16" t="s">
        <v>34</v>
      </c>
      <c r="B55" s="16" t="s">
        <v>79</v>
      </c>
      <c r="C55" s="16" t="n">
        <v>5</v>
      </c>
      <c r="D55" s="16" t="n">
        <v>10</v>
      </c>
      <c r="E55" s="17" t="n">
        <v>15.55</v>
      </c>
    </row>
    <row r="56" customFormat="false" ht="15" hidden="false" customHeight="false" outlineLevel="0" collapsed="false">
      <c r="A56" s="16" t="s">
        <v>34</v>
      </c>
      <c r="B56" s="16" t="s">
        <v>79</v>
      </c>
      <c r="C56" s="16" t="n">
        <v>10</v>
      </c>
      <c r="D56" s="16" t="n">
        <v>20</v>
      </c>
      <c r="E56" s="17" t="n">
        <v>24.62</v>
      </c>
    </row>
    <row r="57" customFormat="false" ht="15" hidden="false" customHeight="false" outlineLevel="0" collapsed="false">
      <c r="A57" s="16" t="s">
        <v>34</v>
      </c>
      <c r="B57" s="16" t="s">
        <v>79</v>
      </c>
      <c r="C57" s="16" t="n">
        <v>20</v>
      </c>
      <c r="D57" s="16" t="n">
        <v>31.5</v>
      </c>
      <c r="E57" s="17" t="n">
        <v>35.06</v>
      </c>
    </row>
    <row r="58" customFormat="false" ht="15" hidden="false" customHeight="false" outlineLevel="0" collapsed="false">
      <c r="A58" s="16" t="s">
        <v>34</v>
      </c>
      <c r="B58" s="16" t="s">
        <v>80</v>
      </c>
      <c r="C58" s="16" t="n">
        <v>0</v>
      </c>
      <c r="D58" s="16" t="n">
        <v>1</v>
      </c>
      <c r="E58" s="17" t="n">
        <v>9.85</v>
      </c>
    </row>
    <row r="59" customFormat="false" ht="15" hidden="false" customHeight="false" outlineLevel="0" collapsed="false">
      <c r="A59" s="16" t="s">
        <v>34</v>
      </c>
      <c r="B59" s="16" t="s">
        <v>80</v>
      </c>
      <c r="C59" s="16" t="n">
        <v>1</v>
      </c>
      <c r="D59" s="16" t="n">
        <v>3</v>
      </c>
      <c r="E59" s="17" t="n">
        <v>12.27</v>
      </c>
    </row>
    <row r="60" customFormat="false" ht="15" hidden="false" customHeight="false" outlineLevel="0" collapsed="false">
      <c r="A60" s="16" t="s">
        <v>34</v>
      </c>
      <c r="B60" s="16" t="s">
        <v>80</v>
      </c>
      <c r="C60" s="16" t="n">
        <v>3</v>
      </c>
      <c r="D60" s="16" t="n">
        <v>5</v>
      </c>
      <c r="E60" s="17" t="n">
        <v>14.69</v>
      </c>
    </row>
    <row r="61" customFormat="false" ht="15" hidden="false" customHeight="false" outlineLevel="0" collapsed="false">
      <c r="A61" s="16" t="s">
        <v>34</v>
      </c>
      <c r="B61" s="16" t="s">
        <v>80</v>
      </c>
      <c r="C61" s="16" t="n">
        <v>5</v>
      </c>
      <c r="D61" s="16" t="n">
        <v>10</v>
      </c>
      <c r="E61" s="17" t="n">
        <v>20.74</v>
      </c>
    </row>
    <row r="62" customFormat="false" ht="15" hidden="false" customHeight="false" outlineLevel="0" collapsed="false">
      <c r="A62" s="16" t="s">
        <v>34</v>
      </c>
      <c r="B62" s="16" t="s">
        <v>80</v>
      </c>
      <c r="C62" s="16" t="n">
        <v>10</v>
      </c>
      <c r="D62" s="16" t="n">
        <v>20</v>
      </c>
      <c r="E62" s="17" t="n">
        <v>32.83</v>
      </c>
    </row>
    <row r="63" customFormat="false" ht="15" hidden="false" customHeight="false" outlineLevel="0" collapsed="false">
      <c r="A63" s="16" t="s">
        <v>34</v>
      </c>
      <c r="B63" s="16" t="s">
        <v>80</v>
      </c>
      <c r="C63" s="16" t="n">
        <v>20</v>
      </c>
      <c r="D63" s="16" t="n">
        <v>31.5</v>
      </c>
      <c r="E63" s="17" t="n">
        <v>46.74</v>
      </c>
    </row>
    <row r="64" customFormat="false" ht="15" hidden="false" customHeight="false" outlineLevel="0" collapsed="false">
      <c r="A64" s="16" t="s">
        <v>35</v>
      </c>
      <c r="B64" s="16" t="s">
        <v>76</v>
      </c>
      <c r="C64" s="16" t="n">
        <v>0</v>
      </c>
      <c r="D64" s="16" t="n">
        <v>1</v>
      </c>
      <c r="E64" s="17" t="n">
        <v>3.88</v>
      </c>
    </row>
    <row r="65" customFormat="false" ht="15" hidden="false" customHeight="false" outlineLevel="0" collapsed="false">
      <c r="A65" s="16" t="s">
        <v>35</v>
      </c>
      <c r="B65" s="16" t="s">
        <v>76</v>
      </c>
      <c r="C65" s="16" t="n">
        <v>1</v>
      </c>
      <c r="D65" s="16" t="n">
        <v>3</v>
      </c>
      <c r="E65" s="17" t="n">
        <v>4.83</v>
      </c>
    </row>
    <row r="66" customFormat="false" ht="15" hidden="false" customHeight="false" outlineLevel="0" collapsed="false">
      <c r="A66" s="16" t="s">
        <v>35</v>
      </c>
      <c r="B66" s="16" t="s">
        <v>76</v>
      </c>
      <c r="C66" s="16" t="n">
        <v>3</v>
      </c>
      <c r="D66" s="16" t="n">
        <v>5</v>
      </c>
      <c r="E66" s="17" t="n">
        <v>5.78</v>
      </c>
    </row>
    <row r="67" customFormat="false" ht="15" hidden="false" customHeight="false" outlineLevel="0" collapsed="false">
      <c r="A67" s="16" t="s">
        <v>35</v>
      </c>
      <c r="B67" s="16" t="s">
        <v>76</v>
      </c>
      <c r="C67" s="16" t="n">
        <v>5</v>
      </c>
      <c r="D67" s="16" t="n">
        <v>10</v>
      </c>
      <c r="E67" s="17" t="n">
        <v>8.16</v>
      </c>
    </row>
    <row r="68" customFormat="false" ht="15" hidden="false" customHeight="false" outlineLevel="0" collapsed="false">
      <c r="A68" s="16" t="s">
        <v>35</v>
      </c>
      <c r="B68" s="16" t="s">
        <v>76</v>
      </c>
      <c r="C68" s="16" t="n">
        <v>10</v>
      </c>
      <c r="D68" s="16" t="n">
        <v>20</v>
      </c>
      <c r="E68" s="17" t="n">
        <v>12.92</v>
      </c>
    </row>
    <row r="69" customFormat="false" ht="15" hidden="false" customHeight="false" outlineLevel="0" collapsed="false">
      <c r="A69" s="16" t="s">
        <v>35</v>
      </c>
      <c r="B69" s="16" t="s">
        <v>76</v>
      </c>
      <c r="C69" s="16" t="n">
        <v>20</v>
      </c>
      <c r="D69" s="16" t="n">
        <v>31.5</v>
      </c>
      <c r="E69" s="17" t="n">
        <v>18.39</v>
      </c>
    </row>
    <row r="70" customFormat="false" ht="15" hidden="false" customHeight="false" outlineLevel="0" collapsed="false">
      <c r="A70" s="16" t="s">
        <v>35</v>
      </c>
      <c r="B70" s="16" t="s">
        <v>77</v>
      </c>
      <c r="C70" s="16" t="n">
        <v>0</v>
      </c>
      <c r="D70" s="16" t="n">
        <v>1</v>
      </c>
      <c r="E70" s="17" t="n">
        <v>5.23</v>
      </c>
    </row>
    <row r="71" customFormat="false" ht="15" hidden="false" customHeight="false" outlineLevel="0" collapsed="false">
      <c r="A71" s="16" t="s">
        <v>35</v>
      </c>
      <c r="B71" s="16" t="s">
        <v>77</v>
      </c>
      <c r="C71" s="16" t="n">
        <v>1</v>
      </c>
      <c r="D71" s="16" t="n">
        <v>3</v>
      </c>
      <c r="E71" s="17" t="n">
        <v>6.52</v>
      </c>
    </row>
    <row r="72" customFormat="false" ht="15" hidden="false" customHeight="false" outlineLevel="0" collapsed="false">
      <c r="A72" s="16" t="s">
        <v>35</v>
      </c>
      <c r="B72" s="16" t="s">
        <v>77</v>
      </c>
      <c r="C72" s="16" t="n">
        <v>3</v>
      </c>
      <c r="D72" s="16" t="n">
        <v>5</v>
      </c>
      <c r="E72" s="17" t="n">
        <v>7.8</v>
      </c>
    </row>
    <row r="73" customFormat="false" ht="15" hidden="false" customHeight="false" outlineLevel="0" collapsed="false">
      <c r="A73" s="16" t="s">
        <v>35</v>
      </c>
      <c r="B73" s="16" t="s">
        <v>77</v>
      </c>
      <c r="C73" s="16" t="n">
        <v>5</v>
      </c>
      <c r="D73" s="16" t="n">
        <v>10</v>
      </c>
      <c r="E73" s="17" t="n">
        <v>11.02</v>
      </c>
    </row>
    <row r="74" customFormat="false" ht="15" hidden="false" customHeight="false" outlineLevel="0" collapsed="false">
      <c r="A74" s="16" t="s">
        <v>35</v>
      </c>
      <c r="B74" s="16" t="s">
        <v>77</v>
      </c>
      <c r="C74" s="16" t="n">
        <v>10</v>
      </c>
      <c r="D74" s="16" t="n">
        <v>20</v>
      </c>
      <c r="E74" s="17" t="n">
        <v>17.44</v>
      </c>
    </row>
    <row r="75" customFormat="false" ht="15" hidden="false" customHeight="false" outlineLevel="0" collapsed="false">
      <c r="A75" s="16" t="s">
        <v>35</v>
      </c>
      <c r="B75" s="16" t="s">
        <v>77</v>
      </c>
      <c r="C75" s="16" t="n">
        <v>20</v>
      </c>
      <c r="D75" s="16" t="n">
        <v>31.5</v>
      </c>
      <c r="E75" s="17" t="n">
        <v>24.83</v>
      </c>
    </row>
    <row r="76" customFormat="false" ht="15" hidden="false" customHeight="false" outlineLevel="0" collapsed="false">
      <c r="A76" s="16" t="s">
        <v>35</v>
      </c>
      <c r="B76" s="16" t="s">
        <v>78</v>
      </c>
      <c r="C76" s="16" t="n">
        <v>0</v>
      </c>
      <c r="D76" s="16" t="n">
        <v>1</v>
      </c>
      <c r="E76" s="17" t="n">
        <v>6.2</v>
      </c>
    </row>
    <row r="77" customFormat="false" ht="15" hidden="false" customHeight="false" outlineLevel="0" collapsed="false">
      <c r="A77" s="16" t="s">
        <v>35</v>
      </c>
      <c r="B77" s="16" t="s">
        <v>78</v>
      </c>
      <c r="C77" s="16" t="n">
        <v>1</v>
      </c>
      <c r="D77" s="16" t="n">
        <v>3</v>
      </c>
      <c r="E77" s="17" t="n">
        <v>7.72</v>
      </c>
    </row>
    <row r="78" customFormat="false" ht="15" hidden="false" customHeight="false" outlineLevel="0" collapsed="false">
      <c r="A78" s="16" t="s">
        <v>35</v>
      </c>
      <c r="B78" s="16" t="s">
        <v>78</v>
      </c>
      <c r="C78" s="16" t="n">
        <v>3</v>
      </c>
      <c r="D78" s="16" t="n">
        <v>5</v>
      </c>
      <c r="E78" s="17" t="n">
        <v>9.25</v>
      </c>
    </row>
    <row r="79" customFormat="false" ht="15" hidden="false" customHeight="false" outlineLevel="0" collapsed="false">
      <c r="A79" s="16" t="s">
        <v>35</v>
      </c>
      <c r="B79" s="16" t="s">
        <v>78</v>
      </c>
      <c r="C79" s="16" t="n">
        <v>5</v>
      </c>
      <c r="D79" s="16" t="n">
        <v>10</v>
      </c>
      <c r="E79" s="17" t="n">
        <v>13.06</v>
      </c>
    </row>
    <row r="80" customFormat="false" ht="15" hidden="false" customHeight="false" outlineLevel="0" collapsed="false">
      <c r="A80" s="16" t="s">
        <v>35</v>
      </c>
      <c r="B80" s="16" t="s">
        <v>78</v>
      </c>
      <c r="C80" s="16" t="n">
        <v>10</v>
      </c>
      <c r="D80" s="16" t="n">
        <v>20</v>
      </c>
      <c r="E80" s="17" t="n">
        <v>20.67</v>
      </c>
    </row>
    <row r="81" customFormat="false" ht="15" hidden="false" customHeight="false" outlineLevel="0" collapsed="false">
      <c r="A81" s="16" t="s">
        <v>35</v>
      </c>
      <c r="B81" s="16" t="s">
        <v>78</v>
      </c>
      <c r="C81" s="16" t="n">
        <v>20</v>
      </c>
      <c r="D81" s="16" t="n">
        <v>31.5</v>
      </c>
      <c r="E81" s="17" t="n">
        <v>29.43</v>
      </c>
    </row>
    <row r="82" customFormat="false" ht="15" hidden="false" customHeight="false" outlineLevel="0" collapsed="false">
      <c r="A82" s="16" t="s">
        <v>35</v>
      </c>
      <c r="B82" s="16" t="s">
        <v>79</v>
      </c>
      <c r="C82" s="16" t="n">
        <v>0</v>
      </c>
      <c r="D82" s="16" t="n">
        <v>1</v>
      </c>
      <c r="E82" s="17" t="n">
        <v>6.98</v>
      </c>
    </row>
    <row r="83" customFormat="false" ht="15" hidden="false" customHeight="false" outlineLevel="0" collapsed="false">
      <c r="A83" s="16" t="s">
        <v>35</v>
      </c>
      <c r="B83" s="16" t="s">
        <v>79</v>
      </c>
      <c r="C83" s="16" t="n">
        <v>1</v>
      </c>
      <c r="D83" s="16" t="n">
        <v>3</v>
      </c>
      <c r="E83" s="17" t="n">
        <v>8.69</v>
      </c>
    </row>
    <row r="84" customFormat="false" ht="15" hidden="false" customHeight="false" outlineLevel="0" collapsed="false">
      <c r="A84" s="16" t="s">
        <v>35</v>
      </c>
      <c r="B84" s="16" t="s">
        <v>79</v>
      </c>
      <c r="C84" s="16" t="n">
        <v>3</v>
      </c>
      <c r="D84" s="16" t="n">
        <v>5</v>
      </c>
      <c r="E84" s="17" t="n">
        <v>10.4</v>
      </c>
    </row>
    <row r="85" customFormat="false" ht="15" hidden="false" customHeight="false" outlineLevel="0" collapsed="false">
      <c r="A85" s="16" t="s">
        <v>35</v>
      </c>
      <c r="B85" s="16" t="s">
        <v>79</v>
      </c>
      <c r="C85" s="16" t="n">
        <v>5</v>
      </c>
      <c r="D85" s="16" t="n">
        <v>10</v>
      </c>
      <c r="E85" s="17" t="n">
        <v>14.69</v>
      </c>
    </row>
    <row r="86" customFormat="false" ht="15" hidden="false" customHeight="false" outlineLevel="0" collapsed="false">
      <c r="A86" s="16" t="s">
        <v>35</v>
      </c>
      <c r="B86" s="16" t="s">
        <v>79</v>
      </c>
      <c r="C86" s="16" t="n">
        <v>10</v>
      </c>
      <c r="D86" s="16" t="n">
        <v>20</v>
      </c>
      <c r="E86" s="17" t="n">
        <v>23.26</v>
      </c>
    </row>
    <row r="87" customFormat="false" ht="15" hidden="false" customHeight="false" outlineLevel="0" collapsed="false">
      <c r="A87" s="16" t="s">
        <v>35</v>
      </c>
      <c r="B87" s="16" t="s">
        <v>79</v>
      </c>
      <c r="C87" s="16" t="n">
        <v>20</v>
      </c>
      <c r="D87" s="16" t="n">
        <v>31.5</v>
      </c>
      <c r="E87" s="17" t="n">
        <v>33.11</v>
      </c>
    </row>
    <row r="88" customFormat="false" ht="15" hidden="false" customHeight="false" outlineLevel="0" collapsed="false">
      <c r="A88" s="16" t="s">
        <v>35</v>
      </c>
      <c r="B88" s="16" t="s">
        <v>80</v>
      </c>
      <c r="C88" s="16" t="n">
        <v>0</v>
      </c>
      <c r="D88" s="16" t="n">
        <v>1</v>
      </c>
      <c r="E88" s="17" t="n">
        <v>9.3</v>
      </c>
    </row>
    <row r="89" customFormat="false" ht="15" hidden="false" customHeight="false" outlineLevel="0" collapsed="false">
      <c r="A89" s="16" t="s">
        <v>35</v>
      </c>
      <c r="B89" s="16" t="s">
        <v>80</v>
      </c>
      <c r="C89" s="16" t="n">
        <v>1</v>
      </c>
      <c r="D89" s="16" t="n">
        <v>3</v>
      </c>
      <c r="E89" s="17" t="n">
        <v>11.59</v>
      </c>
    </row>
    <row r="90" customFormat="false" ht="15" hidden="false" customHeight="false" outlineLevel="0" collapsed="false">
      <c r="A90" s="16" t="s">
        <v>35</v>
      </c>
      <c r="B90" s="16" t="s">
        <v>80</v>
      </c>
      <c r="C90" s="16" t="n">
        <v>3</v>
      </c>
      <c r="D90" s="16" t="n">
        <v>5</v>
      </c>
      <c r="E90" s="17" t="n">
        <v>13.87</v>
      </c>
    </row>
    <row r="91" customFormat="false" ht="15" hidden="false" customHeight="false" outlineLevel="0" collapsed="false">
      <c r="A91" s="16" t="s">
        <v>35</v>
      </c>
      <c r="B91" s="16" t="s">
        <v>80</v>
      </c>
      <c r="C91" s="16" t="n">
        <v>5</v>
      </c>
      <c r="D91" s="16" t="n">
        <v>10</v>
      </c>
      <c r="E91" s="17" t="n">
        <v>19.58</v>
      </c>
    </row>
    <row r="92" customFormat="false" ht="15" hidden="false" customHeight="false" outlineLevel="0" collapsed="false">
      <c r="A92" s="16" t="s">
        <v>35</v>
      </c>
      <c r="B92" s="16" t="s">
        <v>80</v>
      </c>
      <c r="C92" s="16" t="n">
        <v>10</v>
      </c>
      <c r="D92" s="16" t="n">
        <v>20</v>
      </c>
      <c r="E92" s="17" t="n">
        <v>31.01</v>
      </c>
    </row>
    <row r="93" customFormat="false" ht="15" hidden="false" customHeight="false" outlineLevel="0" collapsed="false">
      <c r="A93" s="16" t="s">
        <v>35</v>
      </c>
      <c r="B93" s="16" t="s">
        <v>80</v>
      </c>
      <c r="C93" s="16" t="n">
        <v>20</v>
      </c>
      <c r="D93" s="16" t="n">
        <v>31.5</v>
      </c>
      <c r="E93" s="17" t="n">
        <v>44.15</v>
      </c>
    </row>
    <row r="94" customFormat="false" ht="15" hidden="false" customHeight="false" outlineLevel="0" collapsed="false">
      <c r="A94" s="16" t="s">
        <v>36</v>
      </c>
      <c r="B94" s="16" t="s">
        <v>76</v>
      </c>
      <c r="C94" s="16" t="n">
        <v>0</v>
      </c>
      <c r="D94" s="16" t="n">
        <v>1</v>
      </c>
      <c r="E94" s="17" t="n">
        <v>6.27</v>
      </c>
    </row>
    <row r="95" customFormat="false" ht="15" hidden="false" customHeight="false" outlineLevel="0" collapsed="false">
      <c r="A95" s="16" t="s">
        <v>36</v>
      </c>
      <c r="B95" s="16" t="s">
        <v>76</v>
      </c>
      <c r="C95" s="16" t="n">
        <v>1</v>
      </c>
      <c r="D95" s="16" t="n">
        <v>3</v>
      </c>
      <c r="E95" s="17" t="n">
        <v>7.81</v>
      </c>
    </row>
    <row r="96" customFormat="false" ht="15" hidden="false" customHeight="false" outlineLevel="0" collapsed="false">
      <c r="A96" s="16" t="s">
        <v>36</v>
      </c>
      <c r="B96" s="16" t="s">
        <v>76</v>
      </c>
      <c r="C96" s="16" t="n">
        <v>3</v>
      </c>
      <c r="D96" s="16" t="n">
        <v>5</v>
      </c>
      <c r="E96" s="17" t="n">
        <v>9.35</v>
      </c>
    </row>
    <row r="97" customFormat="false" ht="15" hidden="false" customHeight="false" outlineLevel="0" collapsed="false">
      <c r="A97" s="16" t="s">
        <v>36</v>
      </c>
      <c r="B97" s="16" t="s">
        <v>76</v>
      </c>
      <c r="C97" s="16" t="n">
        <v>5</v>
      </c>
      <c r="D97" s="16" t="n">
        <v>10</v>
      </c>
      <c r="E97" s="17" t="n">
        <v>13.2</v>
      </c>
    </row>
    <row r="98" customFormat="false" ht="15" hidden="false" customHeight="false" outlineLevel="0" collapsed="false">
      <c r="A98" s="16" t="s">
        <v>36</v>
      </c>
      <c r="B98" s="16" t="s">
        <v>76</v>
      </c>
      <c r="C98" s="16" t="n">
        <v>10</v>
      </c>
      <c r="D98" s="16" t="n">
        <v>20</v>
      </c>
      <c r="E98" s="17" t="n">
        <v>20.9</v>
      </c>
    </row>
    <row r="99" customFormat="false" ht="15" hidden="false" customHeight="false" outlineLevel="0" collapsed="false">
      <c r="A99" s="16" t="s">
        <v>36</v>
      </c>
      <c r="B99" s="16" t="s">
        <v>76</v>
      </c>
      <c r="C99" s="16" t="n">
        <v>20</v>
      </c>
      <c r="D99" s="16" t="n">
        <v>31.5</v>
      </c>
      <c r="E99" s="17" t="n">
        <v>29.76</v>
      </c>
    </row>
    <row r="100" customFormat="false" ht="15" hidden="false" customHeight="false" outlineLevel="0" collapsed="false">
      <c r="A100" s="16" t="s">
        <v>36</v>
      </c>
      <c r="B100" s="16" t="s">
        <v>77</v>
      </c>
      <c r="C100" s="16" t="n">
        <v>0</v>
      </c>
      <c r="D100" s="16" t="n">
        <v>1</v>
      </c>
      <c r="E100" s="17" t="n">
        <v>8.46</v>
      </c>
    </row>
    <row r="101" customFormat="false" ht="15" hidden="false" customHeight="false" outlineLevel="0" collapsed="false">
      <c r="A101" s="16" t="s">
        <v>36</v>
      </c>
      <c r="B101" s="16" t="s">
        <v>77</v>
      </c>
      <c r="C101" s="16" t="n">
        <v>1</v>
      </c>
      <c r="D101" s="16" t="n">
        <v>3</v>
      </c>
      <c r="E101" s="17" t="n">
        <v>10.54</v>
      </c>
    </row>
    <row r="102" customFormat="false" ht="15" hidden="false" customHeight="false" outlineLevel="0" collapsed="false">
      <c r="A102" s="16" t="s">
        <v>36</v>
      </c>
      <c r="B102" s="16" t="s">
        <v>77</v>
      </c>
      <c r="C102" s="16" t="n">
        <v>3</v>
      </c>
      <c r="D102" s="16" t="n">
        <v>5</v>
      </c>
      <c r="E102" s="17" t="n">
        <v>12.62</v>
      </c>
    </row>
    <row r="103" customFormat="false" ht="15" hidden="false" customHeight="false" outlineLevel="0" collapsed="false">
      <c r="A103" s="16" t="s">
        <v>36</v>
      </c>
      <c r="B103" s="16" t="s">
        <v>77</v>
      </c>
      <c r="C103" s="16" t="n">
        <v>5</v>
      </c>
      <c r="D103" s="16" t="n">
        <v>10</v>
      </c>
      <c r="E103" s="17" t="n">
        <v>17.82</v>
      </c>
    </row>
    <row r="104" customFormat="false" ht="15" hidden="false" customHeight="false" outlineLevel="0" collapsed="false">
      <c r="A104" s="16" t="s">
        <v>36</v>
      </c>
      <c r="B104" s="16" t="s">
        <v>77</v>
      </c>
      <c r="C104" s="16" t="n">
        <v>10</v>
      </c>
      <c r="D104" s="16" t="n">
        <v>20</v>
      </c>
      <c r="E104" s="17" t="n">
        <v>28.22</v>
      </c>
    </row>
    <row r="105" customFormat="false" ht="15" hidden="false" customHeight="false" outlineLevel="0" collapsed="false">
      <c r="A105" s="16" t="s">
        <v>36</v>
      </c>
      <c r="B105" s="16" t="s">
        <v>77</v>
      </c>
      <c r="C105" s="16" t="n">
        <v>20</v>
      </c>
      <c r="D105" s="16" t="n">
        <v>31.5</v>
      </c>
      <c r="E105" s="17" t="n">
        <v>40.17</v>
      </c>
    </row>
    <row r="106" customFormat="false" ht="15" hidden="false" customHeight="false" outlineLevel="0" collapsed="false">
      <c r="A106" s="16" t="s">
        <v>36</v>
      </c>
      <c r="B106" s="16" t="s">
        <v>78</v>
      </c>
      <c r="C106" s="16" t="n">
        <v>0</v>
      </c>
      <c r="D106" s="16" t="n">
        <v>1</v>
      </c>
      <c r="E106" s="17" t="n">
        <v>10.03</v>
      </c>
    </row>
    <row r="107" customFormat="false" ht="15" hidden="false" customHeight="false" outlineLevel="0" collapsed="false">
      <c r="A107" s="16" t="s">
        <v>36</v>
      </c>
      <c r="B107" s="16" t="s">
        <v>78</v>
      </c>
      <c r="C107" s="16" t="n">
        <v>1</v>
      </c>
      <c r="D107" s="16" t="n">
        <v>3</v>
      </c>
      <c r="E107" s="17" t="n">
        <v>12.5</v>
      </c>
    </row>
    <row r="108" customFormat="false" ht="15" hidden="false" customHeight="false" outlineLevel="0" collapsed="false">
      <c r="A108" s="16" t="s">
        <v>36</v>
      </c>
      <c r="B108" s="16" t="s">
        <v>78</v>
      </c>
      <c r="C108" s="16" t="n">
        <v>3</v>
      </c>
      <c r="D108" s="16" t="n">
        <v>5</v>
      </c>
      <c r="E108" s="17" t="n">
        <v>14.96</v>
      </c>
    </row>
    <row r="109" customFormat="false" ht="15" hidden="false" customHeight="false" outlineLevel="0" collapsed="false">
      <c r="A109" s="16" t="s">
        <v>36</v>
      </c>
      <c r="B109" s="16" t="s">
        <v>78</v>
      </c>
      <c r="C109" s="16" t="n">
        <v>5</v>
      </c>
      <c r="D109" s="16" t="n">
        <v>10</v>
      </c>
      <c r="E109" s="17" t="n">
        <v>21.12</v>
      </c>
    </row>
    <row r="110" customFormat="false" ht="15" hidden="false" customHeight="false" outlineLevel="0" collapsed="false">
      <c r="A110" s="16" t="s">
        <v>36</v>
      </c>
      <c r="B110" s="16" t="s">
        <v>78</v>
      </c>
      <c r="C110" s="16" t="n">
        <v>10</v>
      </c>
      <c r="D110" s="16" t="n">
        <v>20</v>
      </c>
      <c r="E110" s="17" t="n">
        <v>33.44</v>
      </c>
    </row>
    <row r="111" customFormat="false" ht="15" hidden="false" customHeight="false" outlineLevel="0" collapsed="false">
      <c r="A111" s="16" t="s">
        <v>36</v>
      </c>
      <c r="B111" s="16" t="s">
        <v>78</v>
      </c>
      <c r="C111" s="16" t="n">
        <v>20</v>
      </c>
      <c r="D111" s="16" t="n">
        <v>31.5</v>
      </c>
      <c r="E111" s="17" t="n">
        <v>47.61</v>
      </c>
    </row>
    <row r="112" customFormat="false" ht="15" hidden="false" customHeight="false" outlineLevel="0" collapsed="false">
      <c r="A112" s="16" t="s">
        <v>36</v>
      </c>
      <c r="B112" s="16" t="s">
        <v>79</v>
      </c>
      <c r="C112" s="16" t="n">
        <v>0</v>
      </c>
      <c r="D112" s="16" t="n">
        <v>1</v>
      </c>
      <c r="E112" s="17" t="n">
        <v>11.29</v>
      </c>
    </row>
    <row r="113" customFormat="false" ht="15" hidden="false" customHeight="false" outlineLevel="0" collapsed="false">
      <c r="A113" s="16" t="s">
        <v>36</v>
      </c>
      <c r="B113" s="16" t="s">
        <v>79</v>
      </c>
      <c r="C113" s="16" t="n">
        <v>1</v>
      </c>
      <c r="D113" s="16" t="n">
        <v>3</v>
      </c>
      <c r="E113" s="17" t="n">
        <v>14.06</v>
      </c>
    </row>
    <row r="114" customFormat="false" ht="15" hidden="false" customHeight="false" outlineLevel="0" collapsed="false">
      <c r="A114" s="16" t="s">
        <v>36</v>
      </c>
      <c r="B114" s="16" t="s">
        <v>79</v>
      </c>
      <c r="C114" s="16" t="n">
        <v>3</v>
      </c>
      <c r="D114" s="16" t="n">
        <v>5</v>
      </c>
      <c r="E114" s="17" t="n">
        <v>16.83</v>
      </c>
    </row>
    <row r="115" customFormat="false" ht="15" hidden="false" customHeight="false" outlineLevel="0" collapsed="false">
      <c r="A115" s="16" t="s">
        <v>36</v>
      </c>
      <c r="B115" s="16" t="s">
        <v>79</v>
      </c>
      <c r="C115" s="16" t="n">
        <v>5</v>
      </c>
      <c r="D115" s="16" t="n">
        <v>10</v>
      </c>
      <c r="E115" s="17" t="n">
        <v>23.76</v>
      </c>
    </row>
    <row r="116" customFormat="false" ht="15" hidden="false" customHeight="false" outlineLevel="0" collapsed="false">
      <c r="A116" s="16" t="s">
        <v>36</v>
      </c>
      <c r="B116" s="16" t="s">
        <v>79</v>
      </c>
      <c r="C116" s="16" t="n">
        <v>10</v>
      </c>
      <c r="D116" s="16" t="n">
        <v>20</v>
      </c>
      <c r="E116" s="17" t="n">
        <v>37.62</v>
      </c>
    </row>
    <row r="117" customFormat="false" ht="15" hidden="false" customHeight="false" outlineLevel="0" collapsed="false">
      <c r="A117" s="16" t="s">
        <v>36</v>
      </c>
      <c r="B117" s="16" t="s">
        <v>79</v>
      </c>
      <c r="C117" s="16" t="n">
        <v>20</v>
      </c>
      <c r="D117" s="16" t="n">
        <v>31.5</v>
      </c>
      <c r="E117" s="17" t="n">
        <v>53.56</v>
      </c>
    </row>
    <row r="118" customFormat="false" ht="15" hidden="false" customHeight="false" outlineLevel="0" collapsed="false">
      <c r="A118" s="16" t="s">
        <v>36</v>
      </c>
      <c r="B118" s="16" t="s">
        <v>80</v>
      </c>
      <c r="C118" s="16" t="n">
        <v>0</v>
      </c>
      <c r="D118" s="16" t="n">
        <v>1</v>
      </c>
      <c r="E118" s="17" t="n">
        <v>15.05</v>
      </c>
    </row>
    <row r="119" customFormat="false" ht="15" hidden="false" customHeight="false" outlineLevel="0" collapsed="false">
      <c r="A119" s="16" t="s">
        <v>36</v>
      </c>
      <c r="B119" s="16" t="s">
        <v>80</v>
      </c>
      <c r="C119" s="16" t="n">
        <v>1</v>
      </c>
      <c r="D119" s="16" t="n">
        <v>3</v>
      </c>
      <c r="E119" s="17" t="n">
        <v>18.74</v>
      </c>
    </row>
    <row r="120" customFormat="false" ht="15" hidden="false" customHeight="false" outlineLevel="0" collapsed="false">
      <c r="A120" s="16" t="s">
        <v>36</v>
      </c>
      <c r="B120" s="16" t="s">
        <v>80</v>
      </c>
      <c r="C120" s="16" t="n">
        <v>3</v>
      </c>
      <c r="D120" s="16" t="n">
        <v>5</v>
      </c>
      <c r="E120" s="17" t="n">
        <v>22.44</v>
      </c>
    </row>
    <row r="121" customFormat="false" ht="15" hidden="false" customHeight="false" outlineLevel="0" collapsed="false">
      <c r="A121" s="16" t="s">
        <v>36</v>
      </c>
      <c r="B121" s="16" t="s">
        <v>80</v>
      </c>
      <c r="C121" s="16" t="n">
        <v>5</v>
      </c>
      <c r="D121" s="16" t="n">
        <v>10</v>
      </c>
      <c r="E121" s="17" t="n">
        <v>31.68</v>
      </c>
    </row>
    <row r="122" customFormat="false" ht="15" hidden="false" customHeight="false" outlineLevel="0" collapsed="false">
      <c r="A122" s="16" t="s">
        <v>36</v>
      </c>
      <c r="B122" s="16" t="s">
        <v>80</v>
      </c>
      <c r="C122" s="16" t="n">
        <v>10</v>
      </c>
      <c r="D122" s="16" t="n">
        <v>20</v>
      </c>
      <c r="E122" s="17" t="n">
        <v>50.16</v>
      </c>
    </row>
    <row r="123" customFormat="false" ht="15" hidden="false" customHeight="false" outlineLevel="0" collapsed="false">
      <c r="A123" s="16" t="s">
        <v>36</v>
      </c>
      <c r="B123" s="16" t="s">
        <v>80</v>
      </c>
      <c r="C123" s="16" t="n">
        <v>20</v>
      </c>
      <c r="D123" s="16" t="n">
        <v>31.5</v>
      </c>
      <c r="E123" s="17" t="n">
        <v>71.41</v>
      </c>
    </row>
    <row r="124" customFormat="false" ht="15" hidden="false" customHeight="false" outlineLevel="0" collapsed="false">
      <c r="A124" s="16" t="s">
        <v>37</v>
      </c>
      <c r="B124" s="16" t="s">
        <v>76</v>
      </c>
      <c r="C124" s="16" t="n">
        <v>0</v>
      </c>
      <c r="D124" s="16" t="n">
        <v>1</v>
      </c>
      <c r="E124" s="17" t="n">
        <v>6.04</v>
      </c>
    </row>
    <row r="125" customFormat="false" ht="15" hidden="false" customHeight="false" outlineLevel="0" collapsed="false">
      <c r="A125" s="16" t="s">
        <v>37</v>
      </c>
      <c r="B125" s="16" t="s">
        <v>76</v>
      </c>
      <c r="C125" s="16" t="n">
        <v>1</v>
      </c>
      <c r="D125" s="16" t="n">
        <v>3</v>
      </c>
      <c r="E125" s="17" t="n">
        <v>7.53</v>
      </c>
    </row>
    <row r="126" customFormat="false" ht="15" hidden="false" customHeight="false" outlineLevel="0" collapsed="false">
      <c r="A126" s="16" t="s">
        <v>37</v>
      </c>
      <c r="B126" s="16" t="s">
        <v>76</v>
      </c>
      <c r="C126" s="16" t="n">
        <v>3</v>
      </c>
      <c r="D126" s="16" t="n">
        <v>5</v>
      </c>
      <c r="E126" s="17" t="n">
        <v>9.01</v>
      </c>
    </row>
    <row r="127" customFormat="false" ht="15" hidden="false" customHeight="false" outlineLevel="0" collapsed="false">
      <c r="A127" s="16" t="s">
        <v>37</v>
      </c>
      <c r="B127" s="16" t="s">
        <v>76</v>
      </c>
      <c r="C127" s="16" t="n">
        <v>5</v>
      </c>
      <c r="D127" s="16" t="n">
        <v>10</v>
      </c>
      <c r="E127" s="17" t="n">
        <v>12.72</v>
      </c>
    </row>
    <row r="128" customFormat="false" ht="15" hidden="false" customHeight="false" outlineLevel="0" collapsed="false">
      <c r="A128" s="16" t="s">
        <v>37</v>
      </c>
      <c r="B128" s="16" t="s">
        <v>76</v>
      </c>
      <c r="C128" s="16" t="n">
        <v>10</v>
      </c>
      <c r="D128" s="16" t="n">
        <v>20</v>
      </c>
      <c r="E128" s="17" t="n">
        <v>20.14</v>
      </c>
    </row>
    <row r="129" customFormat="false" ht="15" hidden="false" customHeight="false" outlineLevel="0" collapsed="false">
      <c r="A129" s="16" t="s">
        <v>37</v>
      </c>
      <c r="B129" s="16" t="s">
        <v>76</v>
      </c>
      <c r="C129" s="16" t="n">
        <v>20</v>
      </c>
      <c r="D129" s="16" t="n">
        <v>31.5</v>
      </c>
      <c r="E129" s="17" t="n">
        <v>28.67</v>
      </c>
    </row>
    <row r="130" customFormat="false" ht="15" hidden="false" customHeight="false" outlineLevel="0" collapsed="false">
      <c r="A130" s="16" t="s">
        <v>37</v>
      </c>
      <c r="B130" s="16" t="s">
        <v>77</v>
      </c>
      <c r="C130" s="16" t="n">
        <v>0</v>
      </c>
      <c r="D130" s="16" t="n">
        <v>1</v>
      </c>
      <c r="E130" s="17" t="n">
        <v>8.16</v>
      </c>
    </row>
    <row r="131" customFormat="false" ht="15" hidden="false" customHeight="false" outlineLevel="0" collapsed="false">
      <c r="A131" s="16" t="s">
        <v>37</v>
      </c>
      <c r="B131" s="16" t="s">
        <v>77</v>
      </c>
      <c r="C131" s="16" t="n">
        <v>1</v>
      </c>
      <c r="D131" s="16" t="n">
        <v>3</v>
      </c>
      <c r="E131" s="17" t="n">
        <v>10.16</v>
      </c>
    </row>
    <row r="132" customFormat="false" ht="15" hidden="false" customHeight="false" outlineLevel="0" collapsed="false">
      <c r="A132" s="16" t="s">
        <v>37</v>
      </c>
      <c r="B132" s="16" t="s">
        <v>77</v>
      </c>
      <c r="C132" s="16" t="n">
        <v>3</v>
      </c>
      <c r="D132" s="16" t="n">
        <v>5</v>
      </c>
      <c r="E132" s="17" t="n">
        <v>12.16</v>
      </c>
    </row>
    <row r="133" customFormat="false" ht="15" hidden="false" customHeight="false" outlineLevel="0" collapsed="false">
      <c r="A133" s="16" t="s">
        <v>37</v>
      </c>
      <c r="B133" s="16" t="s">
        <v>77</v>
      </c>
      <c r="C133" s="16" t="n">
        <v>5</v>
      </c>
      <c r="D133" s="16" t="n">
        <v>10</v>
      </c>
      <c r="E133" s="17" t="n">
        <v>17.17</v>
      </c>
    </row>
    <row r="134" customFormat="false" ht="15" hidden="false" customHeight="false" outlineLevel="0" collapsed="false">
      <c r="A134" s="16" t="s">
        <v>37</v>
      </c>
      <c r="B134" s="16" t="s">
        <v>77</v>
      </c>
      <c r="C134" s="16" t="n">
        <v>10</v>
      </c>
      <c r="D134" s="16" t="n">
        <v>20</v>
      </c>
      <c r="E134" s="17" t="n">
        <v>27.19</v>
      </c>
    </row>
    <row r="135" customFormat="false" ht="15" hidden="false" customHeight="false" outlineLevel="0" collapsed="false">
      <c r="A135" s="16" t="s">
        <v>37</v>
      </c>
      <c r="B135" s="16" t="s">
        <v>77</v>
      </c>
      <c r="C135" s="16" t="n">
        <v>20</v>
      </c>
      <c r="D135" s="16" t="n">
        <v>31.5</v>
      </c>
      <c r="E135" s="17" t="n">
        <v>38.71</v>
      </c>
    </row>
    <row r="136" customFormat="false" ht="15" hidden="false" customHeight="false" outlineLevel="0" collapsed="false">
      <c r="A136" s="16" t="s">
        <v>37</v>
      </c>
      <c r="B136" s="16" t="s">
        <v>78</v>
      </c>
      <c r="C136" s="16" t="n">
        <v>0</v>
      </c>
      <c r="D136" s="16" t="n">
        <v>1</v>
      </c>
      <c r="E136" s="17" t="n">
        <v>9.67</v>
      </c>
    </row>
    <row r="137" customFormat="false" ht="15" hidden="false" customHeight="false" outlineLevel="0" collapsed="false">
      <c r="A137" s="16" t="s">
        <v>37</v>
      </c>
      <c r="B137" s="16" t="s">
        <v>78</v>
      </c>
      <c r="C137" s="16" t="n">
        <v>1</v>
      </c>
      <c r="D137" s="16" t="n">
        <v>3</v>
      </c>
      <c r="E137" s="17" t="n">
        <v>12.04</v>
      </c>
    </row>
    <row r="138" customFormat="false" ht="15" hidden="false" customHeight="false" outlineLevel="0" collapsed="false">
      <c r="A138" s="16" t="s">
        <v>37</v>
      </c>
      <c r="B138" s="16" t="s">
        <v>78</v>
      </c>
      <c r="C138" s="16" t="n">
        <v>3</v>
      </c>
      <c r="D138" s="16" t="n">
        <v>5</v>
      </c>
      <c r="E138" s="17" t="n">
        <v>14.42</v>
      </c>
    </row>
    <row r="139" customFormat="false" ht="15" hidden="false" customHeight="false" outlineLevel="0" collapsed="false">
      <c r="A139" s="16" t="s">
        <v>37</v>
      </c>
      <c r="B139" s="16" t="s">
        <v>78</v>
      </c>
      <c r="C139" s="16" t="n">
        <v>5</v>
      </c>
      <c r="D139" s="16" t="n">
        <v>10</v>
      </c>
      <c r="E139" s="17" t="n">
        <v>20.35</v>
      </c>
    </row>
    <row r="140" customFormat="false" ht="15" hidden="false" customHeight="false" outlineLevel="0" collapsed="false">
      <c r="A140" s="16" t="s">
        <v>37</v>
      </c>
      <c r="B140" s="16" t="s">
        <v>78</v>
      </c>
      <c r="C140" s="16" t="n">
        <v>10</v>
      </c>
      <c r="D140" s="16" t="n">
        <v>20</v>
      </c>
      <c r="E140" s="17" t="n">
        <v>32.22</v>
      </c>
    </row>
    <row r="141" customFormat="false" ht="15" hidden="false" customHeight="false" outlineLevel="0" collapsed="false">
      <c r="A141" s="16" t="s">
        <v>37</v>
      </c>
      <c r="B141" s="16" t="s">
        <v>78</v>
      </c>
      <c r="C141" s="16" t="n">
        <v>20</v>
      </c>
      <c r="D141" s="16" t="n">
        <v>31.5</v>
      </c>
      <c r="E141" s="17" t="n">
        <v>45.88</v>
      </c>
    </row>
    <row r="142" customFormat="false" ht="15" hidden="false" customHeight="false" outlineLevel="0" collapsed="false">
      <c r="A142" s="16" t="s">
        <v>37</v>
      </c>
      <c r="B142" s="16" t="s">
        <v>79</v>
      </c>
      <c r="C142" s="16" t="n">
        <v>0</v>
      </c>
      <c r="D142" s="16" t="n">
        <v>1</v>
      </c>
      <c r="E142" s="17" t="n">
        <v>10.88</v>
      </c>
    </row>
    <row r="143" customFormat="false" ht="15" hidden="false" customHeight="false" outlineLevel="0" collapsed="false">
      <c r="A143" s="16" t="s">
        <v>37</v>
      </c>
      <c r="B143" s="16" t="s">
        <v>79</v>
      </c>
      <c r="C143" s="16" t="n">
        <v>1</v>
      </c>
      <c r="D143" s="16" t="n">
        <v>3</v>
      </c>
      <c r="E143" s="17" t="n">
        <v>13.55</v>
      </c>
    </row>
    <row r="144" customFormat="false" ht="15" hidden="false" customHeight="false" outlineLevel="0" collapsed="false">
      <c r="A144" s="16" t="s">
        <v>37</v>
      </c>
      <c r="B144" s="16" t="s">
        <v>79</v>
      </c>
      <c r="C144" s="16" t="n">
        <v>3</v>
      </c>
      <c r="D144" s="16" t="n">
        <v>5</v>
      </c>
      <c r="E144" s="17" t="n">
        <v>16.22</v>
      </c>
    </row>
    <row r="145" customFormat="false" ht="15" hidden="false" customHeight="false" outlineLevel="0" collapsed="false">
      <c r="A145" s="16" t="s">
        <v>37</v>
      </c>
      <c r="B145" s="16" t="s">
        <v>79</v>
      </c>
      <c r="C145" s="16" t="n">
        <v>5</v>
      </c>
      <c r="D145" s="16" t="n">
        <v>10</v>
      </c>
      <c r="E145" s="17" t="n">
        <v>22.9</v>
      </c>
    </row>
    <row r="146" customFormat="false" ht="15" hidden="false" customHeight="false" outlineLevel="0" collapsed="false">
      <c r="A146" s="16" t="s">
        <v>37</v>
      </c>
      <c r="B146" s="16" t="s">
        <v>79</v>
      </c>
      <c r="C146" s="16" t="n">
        <v>10</v>
      </c>
      <c r="D146" s="16" t="n">
        <v>20</v>
      </c>
      <c r="E146" s="17" t="n">
        <v>36.25</v>
      </c>
    </row>
    <row r="147" customFormat="false" ht="15" hidden="false" customHeight="false" outlineLevel="0" collapsed="false">
      <c r="A147" s="16" t="s">
        <v>37</v>
      </c>
      <c r="B147" s="16" t="s">
        <v>79</v>
      </c>
      <c r="C147" s="16" t="n">
        <v>20</v>
      </c>
      <c r="D147" s="16" t="n">
        <v>31.5</v>
      </c>
      <c r="E147" s="17" t="n">
        <v>51.61</v>
      </c>
    </row>
    <row r="148" customFormat="false" ht="15" hidden="false" customHeight="false" outlineLevel="0" collapsed="false">
      <c r="A148" s="16" t="s">
        <v>37</v>
      </c>
      <c r="B148" s="16" t="s">
        <v>80</v>
      </c>
      <c r="C148" s="16" t="n">
        <v>0</v>
      </c>
      <c r="D148" s="16" t="n">
        <v>1</v>
      </c>
      <c r="E148" s="17" t="n">
        <v>14.5</v>
      </c>
    </row>
    <row r="149" customFormat="false" ht="15" hidden="false" customHeight="false" outlineLevel="0" collapsed="false">
      <c r="A149" s="16" t="s">
        <v>37</v>
      </c>
      <c r="B149" s="16" t="s">
        <v>80</v>
      </c>
      <c r="C149" s="16" t="n">
        <v>1</v>
      </c>
      <c r="D149" s="16" t="n">
        <v>3</v>
      </c>
      <c r="E149" s="17" t="n">
        <v>18.06</v>
      </c>
    </row>
    <row r="150" customFormat="false" ht="15" hidden="false" customHeight="false" outlineLevel="0" collapsed="false">
      <c r="A150" s="16" t="s">
        <v>37</v>
      </c>
      <c r="B150" s="16" t="s">
        <v>80</v>
      </c>
      <c r="C150" s="16" t="n">
        <v>3</v>
      </c>
      <c r="D150" s="16" t="n">
        <v>5</v>
      </c>
      <c r="E150" s="17" t="n">
        <v>21.62</v>
      </c>
    </row>
    <row r="151" customFormat="false" ht="15" hidden="false" customHeight="false" outlineLevel="0" collapsed="false">
      <c r="A151" s="16" t="s">
        <v>37</v>
      </c>
      <c r="B151" s="16" t="s">
        <v>80</v>
      </c>
      <c r="C151" s="16" t="n">
        <v>5</v>
      </c>
      <c r="D151" s="16" t="n">
        <v>10</v>
      </c>
      <c r="E151" s="17" t="n">
        <v>30.53</v>
      </c>
    </row>
    <row r="152" customFormat="false" ht="15" hidden="false" customHeight="false" outlineLevel="0" collapsed="false">
      <c r="A152" s="16" t="s">
        <v>37</v>
      </c>
      <c r="B152" s="16" t="s">
        <v>80</v>
      </c>
      <c r="C152" s="16" t="n">
        <v>10</v>
      </c>
      <c r="D152" s="16" t="n">
        <v>20</v>
      </c>
      <c r="E152" s="17" t="n">
        <v>48.34</v>
      </c>
    </row>
    <row r="153" customFormat="false" ht="15" hidden="false" customHeight="false" outlineLevel="0" collapsed="false">
      <c r="A153" s="16" t="s">
        <v>37</v>
      </c>
      <c r="B153" s="16" t="s">
        <v>80</v>
      </c>
      <c r="C153" s="16" t="n">
        <v>20</v>
      </c>
      <c r="D153" s="16" t="n">
        <v>31.5</v>
      </c>
      <c r="E153" s="17" t="n">
        <v>68.82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6"/>
    <col collapsed="false" customWidth="true" hidden="false" outlineLevel="0" max="18" min="3" style="0" width="15"/>
    <col collapsed="false" customWidth="true" hidden="false" outlineLevel="0" max="19" min="19" style="0" width="24"/>
  </cols>
  <sheetData>
    <row r="1" customFormat="false" ht="19.7" hidden="false" customHeight="false" outlineLevel="0" collapsed="false">
      <c r="A1" s="1" t="s">
        <v>81</v>
      </c>
    </row>
    <row r="3" customFormat="false" ht="23.85" hidden="false" customHeight="false" outlineLevel="0" collapsed="false">
      <c r="A3" s="9" t="s">
        <v>82</v>
      </c>
      <c r="B3" s="9" t="s">
        <v>83</v>
      </c>
      <c r="C3" s="9" t="s">
        <v>28</v>
      </c>
      <c r="D3" s="9" t="s">
        <v>84</v>
      </c>
      <c r="E3" s="9" t="s">
        <v>85</v>
      </c>
      <c r="F3" s="9" t="s">
        <v>86</v>
      </c>
      <c r="G3" s="9" t="s">
        <v>87</v>
      </c>
      <c r="H3" s="9" t="s">
        <v>88</v>
      </c>
      <c r="I3" s="9" t="s">
        <v>89</v>
      </c>
      <c r="J3" s="9" t="s">
        <v>90</v>
      </c>
      <c r="K3" s="9" t="s">
        <v>91</v>
      </c>
      <c r="L3" s="9" t="s">
        <v>92</v>
      </c>
      <c r="M3" s="9" t="s">
        <v>93</v>
      </c>
      <c r="N3" s="9" t="s">
        <v>94</v>
      </c>
      <c r="O3" s="9" t="s">
        <v>95</v>
      </c>
      <c r="P3" s="9" t="s">
        <v>96</v>
      </c>
      <c r="Q3" s="9" t="s">
        <v>97</v>
      </c>
      <c r="R3" s="9" t="s">
        <v>38</v>
      </c>
      <c r="S3" s="9" t="s">
        <v>98</v>
      </c>
    </row>
    <row r="4" customFormat="false" ht="15" hidden="false" customHeight="false" outlineLevel="0" collapsed="false">
      <c r="A4" s="18" t="n">
        <v>46220</v>
      </c>
      <c r="B4" s="16" t="s">
        <v>99</v>
      </c>
      <c r="C4" s="16" t="s">
        <v>34</v>
      </c>
      <c r="D4" s="16" t="s">
        <v>76</v>
      </c>
      <c r="E4" s="19" t="n">
        <v>1.35</v>
      </c>
      <c r="F4" s="16" t="n">
        <v>49</v>
      </c>
      <c r="G4" s="16" t="n">
        <v>16</v>
      </c>
      <c r="H4" s="16" t="n">
        <v>28</v>
      </c>
      <c r="I4" s="19" t="n">
        <f aca="false">(F4*G4*H4)/CONFIGURACION!$B$5</f>
        <v>4.3904</v>
      </c>
      <c r="J4" s="19" t="n">
        <f aca="false">MAX(E4,I4)</f>
        <v>4.3904</v>
      </c>
      <c r="K4" s="17" t="n">
        <f aca="false">IFERROR(SUMIFS(TARIFAS!$E$4:$E$153,TARIFAS!$A$4:$A$153,C4,TARIFAS!$B$4:$B$153,D4,TARIFAS!$C$4:$C$153,"&lt;="&amp;J4,TARIFAS!$D$4:$D$153,"&gt;="&amp;J4),0)</f>
        <v>6.12</v>
      </c>
      <c r="L4" s="17" t="n">
        <f aca="false">K4*IFERROR(INDEX(TRANSPORTISTAS!$D$4:$D$8,MATCH(C4,TRANSPORTISTAS!$A$4:$A$8,0)),0)</f>
        <v>0.7344</v>
      </c>
      <c r="M4" s="17" t="n">
        <f aca="false">IFERROR(INDEX(TRANSPORTISTAS!$E$4:$E$8,MATCH(C4,TRANSPORTISTAS!$A$4:$A$8,0)),0)</f>
        <v>0.25</v>
      </c>
      <c r="N4" s="17" t="n">
        <f aca="false">K4+L4+M4</f>
        <v>7.1044</v>
      </c>
      <c r="O4" s="15" t="n">
        <v>8.47</v>
      </c>
      <c r="P4" s="17" t="n">
        <f aca="false">O4-N4</f>
        <v>1.3656</v>
      </c>
      <c r="Q4" s="20" t="n">
        <f aca="false">IFERROR(P4/N4,0)</f>
        <v>0.192218906593097</v>
      </c>
      <c r="R4" s="21" t="str">
        <f aca="false">IF(ABS(Q4)&lt;=CONFIGURACION!$B$6,"✅ Correcto","⚠ Revisar")</f>
        <v>⚠ Revisar</v>
      </c>
      <c r="S4" s="16"/>
    </row>
    <row r="5" customFormat="false" ht="15" hidden="false" customHeight="false" outlineLevel="0" collapsed="false">
      <c r="A5" s="22" t="n">
        <v>46202</v>
      </c>
      <c r="B5" s="23" t="s">
        <v>100</v>
      </c>
      <c r="C5" s="23" t="s">
        <v>33</v>
      </c>
      <c r="D5" s="23" t="s">
        <v>76</v>
      </c>
      <c r="E5" s="24" t="n">
        <v>1.82</v>
      </c>
      <c r="F5" s="23" t="n">
        <v>20</v>
      </c>
      <c r="G5" s="23" t="n">
        <v>45</v>
      </c>
      <c r="H5" s="23" t="n">
        <v>32</v>
      </c>
      <c r="I5" s="24" t="n">
        <f aca="false">(F5*G5*H5)/CONFIGURACION!$B$5</f>
        <v>5.76</v>
      </c>
      <c r="J5" s="24" t="n">
        <f aca="false">MAX(E5,I5)</f>
        <v>5.76</v>
      </c>
      <c r="K5" s="25" t="n">
        <f aca="false">IFERROR(SUMIFS(TARIFAS!$E$4:$E$153,TARIFAS!$A$4:$A$153,C5,TARIFAS!$B$4:$B$153,D5,TARIFAS!$C$4:$C$153,"&lt;="&amp;J5,TARIFAS!$D$4:$D$153,"&gt;="&amp;J5),0)</f>
        <v>10.08</v>
      </c>
      <c r="L5" s="25" t="n">
        <f aca="false">K5*IFERROR(INDEX(TRANSPORTISTAS!$D$4:$D$8,MATCH(C5,TRANSPORTISTAS!$A$4:$A$8,0)),0)</f>
        <v>1.6128</v>
      </c>
      <c r="M5" s="25" t="n">
        <f aca="false">IFERROR(INDEX(TRANSPORTISTAS!$E$4:$E$8,MATCH(C5,TRANSPORTISTAS!$A$4:$A$8,0)),0)</f>
        <v>0.35</v>
      </c>
      <c r="N5" s="25" t="n">
        <f aca="false">K5+L5+M5</f>
        <v>12.0428</v>
      </c>
      <c r="O5" s="15" t="n">
        <v>12</v>
      </c>
      <c r="P5" s="25" t="n">
        <f aca="false">O5-N5</f>
        <v>-0.0427999999999997</v>
      </c>
      <c r="Q5" s="26" t="n">
        <f aca="false">IFERROR(P5/N5,0)</f>
        <v>-0.00355399076626696</v>
      </c>
      <c r="R5" s="27" t="str">
        <f aca="false">IF(ABS(Q5)&lt;=CONFIGURACION!$B$6,"✅ Correcto","⚠ Revisar")</f>
        <v>✅ Correcto</v>
      </c>
      <c r="S5" s="23"/>
    </row>
    <row r="6" customFormat="false" ht="15" hidden="false" customHeight="false" outlineLevel="0" collapsed="false">
      <c r="A6" s="18" t="n">
        <v>46214</v>
      </c>
      <c r="B6" s="16" t="s">
        <v>101</v>
      </c>
      <c r="C6" s="16" t="s">
        <v>37</v>
      </c>
      <c r="D6" s="16" t="s">
        <v>80</v>
      </c>
      <c r="E6" s="19" t="n">
        <v>12.82</v>
      </c>
      <c r="F6" s="16" t="n">
        <v>40</v>
      </c>
      <c r="G6" s="16" t="n">
        <v>13</v>
      </c>
      <c r="H6" s="16" t="n">
        <v>19</v>
      </c>
      <c r="I6" s="19" t="n">
        <f aca="false">(F6*G6*H6)/CONFIGURACION!$B$5</f>
        <v>1.976</v>
      </c>
      <c r="J6" s="19" t="n">
        <f aca="false">MAX(E6,I6)</f>
        <v>12.82</v>
      </c>
      <c r="K6" s="17" t="n">
        <f aca="false">IFERROR(SUMIFS(TARIFAS!$E$4:$E$153,TARIFAS!$A$4:$A$153,C6,TARIFAS!$B$4:$B$153,D6,TARIFAS!$C$4:$C$153,"&lt;="&amp;J6,TARIFAS!$D$4:$D$153,"&gt;="&amp;J6),0)</f>
        <v>48.34</v>
      </c>
      <c r="L6" s="17" t="n">
        <f aca="false">K6*IFERROR(INDEX(TRANSPORTISTAS!$D$4:$D$8,MATCH(C6,TRANSPORTISTAS!$A$4:$A$8,0)),0)</f>
        <v>8.2178</v>
      </c>
      <c r="M6" s="17" t="n">
        <f aca="false">IFERROR(INDEX(TRANSPORTISTAS!$E$4:$E$8,MATCH(C6,TRANSPORTISTAS!$A$4:$A$8,0)),0)</f>
        <v>0.5</v>
      </c>
      <c r="N6" s="17" t="n">
        <f aca="false">K6+L6+M6</f>
        <v>57.0578</v>
      </c>
      <c r="O6" s="15" t="n">
        <v>56.84</v>
      </c>
      <c r="P6" s="17" t="n">
        <f aca="false">O6-N6</f>
        <v>-0.217799999999997</v>
      </c>
      <c r="Q6" s="20" t="n">
        <f aca="false">IFERROR(P6/N6,0)</f>
        <v>-0.00381718187522121</v>
      </c>
      <c r="R6" s="21" t="str">
        <f aca="false">IF(ABS(Q6)&lt;=CONFIGURACION!$B$6,"✅ Correcto","⚠ Revisar")</f>
        <v>✅ Correcto</v>
      </c>
      <c r="S6" s="16"/>
    </row>
    <row r="7" customFormat="false" ht="15" hidden="false" customHeight="false" outlineLevel="0" collapsed="false">
      <c r="A7" s="22" t="n">
        <v>46226</v>
      </c>
      <c r="B7" s="23" t="s">
        <v>102</v>
      </c>
      <c r="C7" s="23" t="s">
        <v>34</v>
      </c>
      <c r="D7" s="23" t="s">
        <v>76</v>
      </c>
      <c r="E7" s="24" t="n">
        <v>12.69</v>
      </c>
      <c r="F7" s="23" t="n">
        <v>50</v>
      </c>
      <c r="G7" s="23" t="n">
        <v>21</v>
      </c>
      <c r="H7" s="23" t="n">
        <v>11</v>
      </c>
      <c r="I7" s="24" t="n">
        <f aca="false">(F7*G7*H7)/CONFIGURACION!$B$5</f>
        <v>2.31</v>
      </c>
      <c r="J7" s="24" t="n">
        <f aca="false">MAX(E7,I7)</f>
        <v>12.69</v>
      </c>
      <c r="K7" s="25" t="n">
        <f aca="false">IFERROR(SUMIFS(TARIFAS!$E$4:$E$153,TARIFAS!$A$4:$A$153,C7,TARIFAS!$B$4:$B$153,D7,TARIFAS!$C$4:$C$153,"&lt;="&amp;J7,TARIFAS!$D$4:$D$153,"&gt;="&amp;J7),0)</f>
        <v>13.68</v>
      </c>
      <c r="L7" s="25" t="n">
        <f aca="false">K7*IFERROR(INDEX(TRANSPORTISTAS!$D$4:$D$8,MATCH(C7,TRANSPORTISTAS!$A$4:$A$8,0)),0)</f>
        <v>1.6416</v>
      </c>
      <c r="M7" s="25" t="n">
        <f aca="false">IFERROR(INDEX(TRANSPORTISTAS!$E$4:$E$8,MATCH(C7,TRANSPORTISTAS!$A$4:$A$8,0)),0)</f>
        <v>0.25</v>
      </c>
      <c r="N7" s="25" t="n">
        <f aca="false">K7+L7+M7</f>
        <v>15.5716</v>
      </c>
      <c r="O7" s="15" t="n">
        <v>15.52</v>
      </c>
      <c r="P7" s="25" t="n">
        <f aca="false">O7-N7</f>
        <v>-0.0516000000000005</v>
      </c>
      <c r="Q7" s="26" t="n">
        <f aca="false">IFERROR(P7/N7,0)</f>
        <v>-0.00331372498651394</v>
      </c>
      <c r="R7" s="27" t="str">
        <f aca="false">IF(ABS(Q7)&lt;=CONFIGURACION!$B$6,"✅ Correcto","⚠ Revisar")</f>
        <v>✅ Correcto</v>
      </c>
      <c r="S7" s="23"/>
    </row>
    <row r="8" customFormat="false" ht="15" hidden="false" customHeight="false" outlineLevel="0" collapsed="false">
      <c r="A8" s="18" t="n">
        <v>46206</v>
      </c>
      <c r="B8" s="16" t="s">
        <v>103</v>
      </c>
      <c r="C8" s="16" t="s">
        <v>37</v>
      </c>
      <c r="D8" s="16" t="s">
        <v>78</v>
      </c>
      <c r="E8" s="19" t="n">
        <v>12.55</v>
      </c>
      <c r="F8" s="16" t="n">
        <v>54</v>
      </c>
      <c r="G8" s="16" t="n">
        <v>23</v>
      </c>
      <c r="H8" s="16" t="n">
        <v>36</v>
      </c>
      <c r="I8" s="19" t="n">
        <f aca="false">(F8*G8*H8)/CONFIGURACION!$B$5</f>
        <v>8.9424</v>
      </c>
      <c r="J8" s="19" t="n">
        <f aca="false">MAX(E8,I8)</f>
        <v>12.55</v>
      </c>
      <c r="K8" s="17" t="n">
        <f aca="false">IFERROR(SUMIFS(TARIFAS!$E$4:$E$153,TARIFAS!$A$4:$A$153,C8,TARIFAS!$B$4:$B$153,D8,TARIFAS!$C$4:$C$153,"&lt;="&amp;J8,TARIFAS!$D$4:$D$153,"&gt;="&amp;J8),0)</f>
        <v>32.22</v>
      </c>
      <c r="L8" s="17" t="n">
        <f aca="false">K8*IFERROR(INDEX(TRANSPORTISTAS!$D$4:$D$8,MATCH(C8,TRANSPORTISTAS!$A$4:$A$8,0)),0)</f>
        <v>5.4774</v>
      </c>
      <c r="M8" s="17" t="n">
        <f aca="false">IFERROR(INDEX(TRANSPORTISTAS!$E$4:$E$8,MATCH(C8,TRANSPORTISTAS!$A$4:$A$8,0)),0)</f>
        <v>0.5</v>
      </c>
      <c r="N8" s="17" t="n">
        <f aca="false">K8+L8+M8</f>
        <v>38.1974</v>
      </c>
      <c r="O8" s="15" t="n">
        <v>38.31</v>
      </c>
      <c r="P8" s="17" t="n">
        <f aca="false">O8-N8</f>
        <v>0.1126</v>
      </c>
      <c r="Q8" s="20" t="n">
        <f aca="false">IFERROR(P8/N8,0)</f>
        <v>0.00294784461769651</v>
      </c>
      <c r="R8" s="21" t="str">
        <f aca="false">IF(ABS(Q8)&lt;=CONFIGURACION!$B$6,"✅ Correcto","⚠ Revisar")</f>
        <v>✅ Correcto</v>
      </c>
      <c r="S8" s="16"/>
    </row>
    <row r="9" customFormat="false" ht="15" hidden="false" customHeight="false" outlineLevel="0" collapsed="false">
      <c r="A9" s="22" t="n">
        <v>46229</v>
      </c>
      <c r="B9" s="23" t="s">
        <v>104</v>
      </c>
      <c r="C9" s="23" t="s">
        <v>37</v>
      </c>
      <c r="D9" s="23" t="s">
        <v>80</v>
      </c>
      <c r="E9" s="24" t="n">
        <v>8.15</v>
      </c>
      <c r="F9" s="23" t="n">
        <v>30</v>
      </c>
      <c r="G9" s="23" t="n">
        <v>21</v>
      </c>
      <c r="H9" s="23" t="n">
        <v>20</v>
      </c>
      <c r="I9" s="24" t="n">
        <f aca="false">(F9*G9*H9)/CONFIGURACION!$B$5</f>
        <v>2.52</v>
      </c>
      <c r="J9" s="24" t="n">
        <f aca="false">MAX(E9,I9)</f>
        <v>8.15</v>
      </c>
      <c r="K9" s="25" t="n">
        <f aca="false">IFERROR(SUMIFS(TARIFAS!$E$4:$E$153,TARIFAS!$A$4:$A$153,C9,TARIFAS!$B$4:$B$153,D9,TARIFAS!$C$4:$C$153,"&lt;="&amp;J9,TARIFAS!$D$4:$D$153,"&gt;="&amp;J9),0)</f>
        <v>30.53</v>
      </c>
      <c r="L9" s="25" t="n">
        <f aca="false">K9*IFERROR(INDEX(TRANSPORTISTAS!$D$4:$D$8,MATCH(C9,TRANSPORTISTAS!$A$4:$A$8,0)),0)</f>
        <v>5.1901</v>
      </c>
      <c r="M9" s="25" t="n">
        <f aca="false">IFERROR(INDEX(TRANSPORTISTAS!$E$4:$E$8,MATCH(C9,TRANSPORTISTAS!$A$4:$A$8,0)),0)</f>
        <v>0.5</v>
      </c>
      <c r="N9" s="25" t="n">
        <f aca="false">K9+L9+M9</f>
        <v>36.2201</v>
      </c>
      <c r="O9" s="15" t="n">
        <v>36.23</v>
      </c>
      <c r="P9" s="25" t="n">
        <f aca="false">O9-N9</f>
        <v>0.00989999999999469</v>
      </c>
      <c r="Q9" s="26" t="n">
        <f aca="false">IFERROR(P9/N9,0)</f>
        <v>0.000273328897490473</v>
      </c>
      <c r="R9" s="27" t="str">
        <f aca="false">IF(ABS(Q9)&lt;=CONFIGURACION!$B$6,"✅ Correcto","⚠ Revisar")</f>
        <v>✅ Correcto</v>
      </c>
      <c r="S9" s="23"/>
    </row>
    <row r="10" customFormat="false" ht="15" hidden="false" customHeight="false" outlineLevel="0" collapsed="false">
      <c r="A10" s="18" t="n">
        <v>46221</v>
      </c>
      <c r="B10" s="16" t="s">
        <v>105</v>
      </c>
      <c r="C10" s="16" t="s">
        <v>36</v>
      </c>
      <c r="D10" s="16" t="s">
        <v>76</v>
      </c>
      <c r="E10" s="19" t="n">
        <v>21.57</v>
      </c>
      <c r="F10" s="16" t="n">
        <v>22</v>
      </c>
      <c r="G10" s="16" t="n">
        <v>42</v>
      </c>
      <c r="H10" s="16" t="n">
        <v>31</v>
      </c>
      <c r="I10" s="19" t="n">
        <f aca="false">(F10*G10*H10)/CONFIGURACION!$B$5</f>
        <v>5.7288</v>
      </c>
      <c r="J10" s="19" t="n">
        <f aca="false">MAX(E10,I10)</f>
        <v>21.57</v>
      </c>
      <c r="K10" s="17" t="n">
        <f aca="false">IFERROR(SUMIFS(TARIFAS!$E$4:$E$153,TARIFAS!$A$4:$A$153,C10,TARIFAS!$B$4:$B$153,D10,TARIFAS!$C$4:$C$153,"&lt;="&amp;J10,TARIFAS!$D$4:$D$153,"&gt;="&amp;J10),0)</f>
        <v>29.76</v>
      </c>
      <c r="L10" s="17" t="n">
        <f aca="false">K10*IFERROR(INDEX(TRANSPORTISTAS!$D$4:$D$8,MATCH(C10,TRANSPORTISTAS!$A$4:$A$8,0)),0)</f>
        <v>5.3568</v>
      </c>
      <c r="M10" s="17" t="n">
        <f aca="false">IFERROR(INDEX(TRANSPORTISTAS!$E$4:$E$8,MATCH(C10,TRANSPORTISTAS!$A$4:$A$8,0)),0)</f>
        <v>0.5</v>
      </c>
      <c r="N10" s="17" t="n">
        <f aca="false">K10+L10+M10</f>
        <v>35.6168</v>
      </c>
      <c r="O10" s="15" t="n">
        <v>35.49</v>
      </c>
      <c r="P10" s="17" t="n">
        <f aca="false">O10-N10</f>
        <v>-0.126799999999996</v>
      </c>
      <c r="Q10" s="20" t="n">
        <f aca="false">IFERROR(P10/N10,0)</f>
        <v>-0.00356011769726634</v>
      </c>
      <c r="R10" s="21" t="str">
        <f aca="false">IF(ABS(Q10)&lt;=CONFIGURACION!$B$6,"✅ Correcto","⚠ Revisar")</f>
        <v>✅ Correcto</v>
      </c>
      <c r="S10" s="16"/>
    </row>
    <row r="11" customFormat="false" ht="15" hidden="false" customHeight="false" outlineLevel="0" collapsed="false">
      <c r="A11" s="22" t="n">
        <v>46231</v>
      </c>
      <c r="B11" s="23" t="s">
        <v>106</v>
      </c>
      <c r="C11" s="23" t="s">
        <v>36</v>
      </c>
      <c r="D11" s="23" t="s">
        <v>76</v>
      </c>
      <c r="E11" s="24" t="n">
        <v>14.8</v>
      </c>
      <c r="F11" s="23" t="n">
        <v>50</v>
      </c>
      <c r="G11" s="23" t="n">
        <v>30</v>
      </c>
      <c r="H11" s="23" t="n">
        <v>26</v>
      </c>
      <c r="I11" s="24" t="n">
        <f aca="false">(F11*G11*H11)/CONFIGURACION!$B$5</f>
        <v>7.8</v>
      </c>
      <c r="J11" s="24" t="n">
        <f aca="false">MAX(E11,I11)</f>
        <v>14.8</v>
      </c>
      <c r="K11" s="25" t="n">
        <f aca="false">IFERROR(SUMIFS(TARIFAS!$E$4:$E$153,TARIFAS!$A$4:$A$153,C11,TARIFAS!$B$4:$B$153,D11,TARIFAS!$C$4:$C$153,"&lt;="&amp;J11,TARIFAS!$D$4:$D$153,"&gt;="&amp;J11),0)</f>
        <v>20.9</v>
      </c>
      <c r="L11" s="25" t="n">
        <f aca="false">K11*IFERROR(INDEX(TRANSPORTISTAS!$D$4:$D$8,MATCH(C11,TRANSPORTISTAS!$A$4:$A$8,0)),0)</f>
        <v>3.762</v>
      </c>
      <c r="M11" s="25" t="n">
        <f aca="false">IFERROR(INDEX(TRANSPORTISTAS!$E$4:$E$8,MATCH(C11,TRANSPORTISTAS!$A$4:$A$8,0)),0)</f>
        <v>0.5</v>
      </c>
      <c r="N11" s="25" t="n">
        <f aca="false">K11+L11+M11</f>
        <v>25.162</v>
      </c>
      <c r="O11" s="15" t="n">
        <v>25.16</v>
      </c>
      <c r="P11" s="25" t="n">
        <f aca="false">O11-N11</f>
        <v>-0.00199999999999889</v>
      </c>
      <c r="Q11" s="26" t="n">
        <f aca="false">IFERROR(P11/N11,0)</f>
        <v>-7.94849376042799E-005</v>
      </c>
      <c r="R11" s="27" t="str">
        <f aca="false">IF(ABS(Q11)&lt;=CONFIGURACION!$B$6,"✅ Correcto","⚠ Revisar")</f>
        <v>✅ Correcto</v>
      </c>
      <c r="S11" s="23"/>
    </row>
    <row r="12" customFormat="false" ht="15" hidden="false" customHeight="false" outlineLevel="0" collapsed="false">
      <c r="A12" s="18" t="n">
        <v>46229</v>
      </c>
      <c r="B12" s="16" t="s">
        <v>107</v>
      </c>
      <c r="C12" s="16" t="s">
        <v>33</v>
      </c>
      <c r="D12" s="16" t="s">
        <v>79</v>
      </c>
      <c r="E12" s="19" t="n">
        <v>20.8</v>
      </c>
      <c r="F12" s="16" t="n">
        <v>45</v>
      </c>
      <c r="G12" s="16" t="n">
        <v>14</v>
      </c>
      <c r="H12" s="16" t="n">
        <v>8</v>
      </c>
      <c r="I12" s="19" t="n">
        <f aca="false">(F12*G12*H12)/CONFIGURACION!$B$5</f>
        <v>1.008</v>
      </c>
      <c r="J12" s="19" t="n">
        <f aca="false">MAX(E12,I12)</f>
        <v>20.8</v>
      </c>
      <c r="K12" s="17" t="n">
        <f aca="false">IFERROR(SUMIFS(TARIFAS!$E$4:$E$153,TARIFAS!$A$4:$A$153,C12,TARIFAS!$B$4:$B$153,D12,TARIFAS!$C$4:$C$153,"&lt;="&amp;J12,TARIFAS!$D$4:$D$153,"&gt;="&amp;J12),0)</f>
        <v>40.9</v>
      </c>
      <c r="L12" s="17" t="n">
        <f aca="false">K12*IFERROR(INDEX(TRANSPORTISTAS!$D$4:$D$8,MATCH(C12,TRANSPORTISTAS!$A$4:$A$8,0)),0)</f>
        <v>6.544</v>
      </c>
      <c r="M12" s="17" t="n">
        <f aca="false">IFERROR(INDEX(TRANSPORTISTAS!$E$4:$E$8,MATCH(C12,TRANSPORTISTAS!$A$4:$A$8,0)),0)</f>
        <v>0.35</v>
      </c>
      <c r="N12" s="17" t="n">
        <f aca="false">K12+L12+M12</f>
        <v>47.794</v>
      </c>
      <c r="O12" s="15" t="n">
        <v>47.86</v>
      </c>
      <c r="P12" s="17" t="n">
        <f aca="false">O12-N12</f>
        <v>0.0660000000000025</v>
      </c>
      <c r="Q12" s="20" t="n">
        <f aca="false">IFERROR(P12/N12,0)</f>
        <v>0.00138092647612676</v>
      </c>
      <c r="R12" s="21" t="str">
        <f aca="false">IF(ABS(Q12)&lt;=CONFIGURACION!$B$6,"✅ Correcto","⚠ Revisar")</f>
        <v>✅ Correcto</v>
      </c>
      <c r="S12" s="16"/>
    </row>
    <row r="13" customFormat="false" ht="15" hidden="false" customHeight="false" outlineLevel="0" collapsed="false">
      <c r="A13" s="22" t="n">
        <v>46243</v>
      </c>
      <c r="B13" s="23" t="s">
        <v>108</v>
      </c>
      <c r="C13" s="23" t="s">
        <v>36</v>
      </c>
      <c r="D13" s="23" t="s">
        <v>76</v>
      </c>
      <c r="E13" s="24" t="n">
        <v>8.67</v>
      </c>
      <c r="F13" s="23" t="n">
        <v>57</v>
      </c>
      <c r="G13" s="23" t="n">
        <v>32</v>
      </c>
      <c r="H13" s="23" t="n">
        <v>6</v>
      </c>
      <c r="I13" s="24" t="n">
        <f aca="false">(F13*G13*H13)/CONFIGURACION!$B$5</f>
        <v>2.1888</v>
      </c>
      <c r="J13" s="24" t="n">
        <f aca="false">MAX(E13,I13)</f>
        <v>8.67</v>
      </c>
      <c r="K13" s="25" t="n">
        <f aca="false">IFERROR(SUMIFS(TARIFAS!$E$4:$E$153,TARIFAS!$A$4:$A$153,C13,TARIFAS!$B$4:$B$153,D13,TARIFAS!$C$4:$C$153,"&lt;="&amp;J13,TARIFAS!$D$4:$D$153,"&gt;="&amp;J13),0)</f>
        <v>13.2</v>
      </c>
      <c r="L13" s="25" t="n">
        <f aca="false">K13*IFERROR(INDEX(TRANSPORTISTAS!$D$4:$D$8,MATCH(C13,TRANSPORTISTAS!$A$4:$A$8,0)),0)</f>
        <v>2.376</v>
      </c>
      <c r="M13" s="25" t="n">
        <f aca="false">IFERROR(INDEX(TRANSPORTISTAS!$E$4:$E$8,MATCH(C13,TRANSPORTISTAS!$A$4:$A$8,0)),0)</f>
        <v>0.5</v>
      </c>
      <c r="N13" s="25" t="n">
        <f aca="false">K13+L13+M13</f>
        <v>16.076</v>
      </c>
      <c r="O13" s="15" t="n">
        <v>16.09</v>
      </c>
      <c r="P13" s="25" t="n">
        <f aca="false">O13-N13</f>
        <v>0.0139999999999993</v>
      </c>
      <c r="Q13" s="26" t="n">
        <f aca="false">IFERROR(P13/N13,0)</f>
        <v>0.000870863398855396</v>
      </c>
      <c r="R13" s="27" t="str">
        <f aca="false">IF(ABS(Q13)&lt;=CONFIGURACION!$B$6,"✅ Correcto","⚠ Revisar")</f>
        <v>✅ Correcto</v>
      </c>
      <c r="S13" s="23"/>
    </row>
    <row r="14" customFormat="false" ht="15" hidden="false" customHeight="false" outlineLevel="0" collapsed="false">
      <c r="A14" s="18" t="n">
        <v>46231</v>
      </c>
      <c r="B14" s="16" t="s">
        <v>109</v>
      </c>
      <c r="C14" s="16" t="s">
        <v>33</v>
      </c>
      <c r="D14" s="16" t="s">
        <v>76</v>
      </c>
      <c r="E14" s="19" t="n">
        <v>6.54</v>
      </c>
      <c r="F14" s="16" t="n">
        <v>30</v>
      </c>
      <c r="G14" s="16" t="n">
        <v>35</v>
      </c>
      <c r="H14" s="16" t="n">
        <v>30</v>
      </c>
      <c r="I14" s="19" t="n">
        <f aca="false">(F14*G14*H14)/CONFIGURACION!$B$5</f>
        <v>6.3</v>
      </c>
      <c r="J14" s="19" t="n">
        <f aca="false">MAX(E14,I14)</f>
        <v>6.54</v>
      </c>
      <c r="K14" s="17" t="n">
        <f aca="false">IFERROR(SUMIFS(TARIFAS!$E$4:$E$153,TARIFAS!$A$4:$A$153,C14,TARIFAS!$B$4:$B$153,D14,TARIFAS!$C$4:$C$153,"&lt;="&amp;J14,TARIFAS!$D$4:$D$153,"&gt;="&amp;J14),0)</f>
        <v>10.08</v>
      </c>
      <c r="L14" s="17" t="n">
        <f aca="false">K14*IFERROR(INDEX(TRANSPORTISTAS!$D$4:$D$8,MATCH(C14,TRANSPORTISTAS!$A$4:$A$8,0)),0)</f>
        <v>1.6128</v>
      </c>
      <c r="M14" s="17" t="n">
        <f aca="false">IFERROR(INDEX(TRANSPORTISTAS!$E$4:$E$8,MATCH(C14,TRANSPORTISTAS!$A$4:$A$8,0)),0)</f>
        <v>0.35</v>
      </c>
      <c r="N14" s="17" t="n">
        <f aca="false">K14+L14+M14</f>
        <v>12.0428</v>
      </c>
      <c r="O14" s="15" t="n">
        <v>14.2</v>
      </c>
      <c r="P14" s="17" t="n">
        <f aca="false">O14-N14</f>
        <v>2.1572</v>
      </c>
      <c r="Q14" s="20" t="n">
        <f aca="false">IFERROR(P14/N14,0)</f>
        <v>0.179127777593251</v>
      </c>
      <c r="R14" s="21" t="str">
        <f aca="false">IF(ABS(Q14)&lt;=CONFIGURACION!$B$6,"✅ Correcto","⚠ Revisar")</f>
        <v>⚠ Revisar</v>
      </c>
      <c r="S14" s="16"/>
    </row>
    <row r="15" customFormat="false" ht="15" hidden="false" customHeight="false" outlineLevel="0" collapsed="false">
      <c r="A15" s="22" t="n">
        <v>46235</v>
      </c>
      <c r="B15" s="23" t="s">
        <v>110</v>
      </c>
      <c r="C15" s="23" t="s">
        <v>35</v>
      </c>
      <c r="D15" s="23" t="s">
        <v>79</v>
      </c>
      <c r="E15" s="24" t="n">
        <v>18.08</v>
      </c>
      <c r="F15" s="23" t="n">
        <v>50</v>
      </c>
      <c r="G15" s="23" t="n">
        <v>27</v>
      </c>
      <c r="H15" s="23" t="n">
        <v>31</v>
      </c>
      <c r="I15" s="24" t="n">
        <f aca="false">(F15*G15*H15)/CONFIGURACION!$B$5</f>
        <v>8.37</v>
      </c>
      <c r="J15" s="24" t="n">
        <f aca="false">MAX(E15,I15)</f>
        <v>18.08</v>
      </c>
      <c r="K15" s="25" t="n">
        <f aca="false">IFERROR(SUMIFS(TARIFAS!$E$4:$E$153,TARIFAS!$A$4:$A$153,C15,TARIFAS!$B$4:$B$153,D15,TARIFAS!$C$4:$C$153,"&lt;="&amp;J15,TARIFAS!$D$4:$D$153,"&gt;="&amp;J15),0)</f>
        <v>23.26</v>
      </c>
      <c r="L15" s="25" t="n">
        <f aca="false">K15*IFERROR(INDEX(TRANSPORTISTAS!$D$4:$D$8,MATCH(C15,TRANSPORTISTAS!$A$4:$A$8,0)),0)</f>
        <v>2.326</v>
      </c>
      <c r="M15" s="25" t="n">
        <f aca="false">IFERROR(INDEX(TRANSPORTISTAS!$E$4:$E$8,MATCH(C15,TRANSPORTISTAS!$A$4:$A$8,0)),0)</f>
        <v>0.2</v>
      </c>
      <c r="N15" s="25" t="n">
        <f aca="false">K15+L15+M15</f>
        <v>25.786</v>
      </c>
      <c r="O15" s="15" t="n">
        <v>25.75</v>
      </c>
      <c r="P15" s="25" t="n">
        <f aca="false">O15-N15</f>
        <v>-0.0360000000000014</v>
      </c>
      <c r="Q15" s="26" t="n">
        <f aca="false">IFERROR(P15/N15,0)</f>
        <v>-0.00139610641433341</v>
      </c>
      <c r="R15" s="27" t="str">
        <f aca="false">IF(ABS(Q15)&lt;=CONFIGURACION!$B$6,"✅ Correcto","⚠ Revisar")</f>
        <v>✅ Correcto</v>
      </c>
      <c r="S15" s="23"/>
    </row>
    <row r="16" customFormat="false" ht="15" hidden="false" customHeight="false" outlineLevel="0" collapsed="false">
      <c r="A16" s="18" t="n">
        <v>46214</v>
      </c>
      <c r="B16" s="16" t="s">
        <v>111</v>
      </c>
      <c r="C16" s="16" t="s">
        <v>34</v>
      </c>
      <c r="D16" s="16" t="s">
        <v>76</v>
      </c>
      <c r="E16" s="19" t="n">
        <v>3.58</v>
      </c>
      <c r="F16" s="16" t="n">
        <v>57</v>
      </c>
      <c r="G16" s="16" t="n">
        <v>24</v>
      </c>
      <c r="H16" s="16" t="n">
        <v>5</v>
      </c>
      <c r="I16" s="19" t="n">
        <f aca="false">(F16*G16*H16)/CONFIGURACION!$B$5</f>
        <v>1.368</v>
      </c>
      <c r="J16" s="19" t="n">
        <f aca="false">MAX(E16,I16)</f>
        <v>3.58</v>
      </c>
      <c r="K16" s="17" t="n">
        <f aca="false">IFERROR(SUMIFS(TARIFAS!$E$4:$E$153,TARIFAS!$A$4:$A$153,C16,TARIFAS!$B$4:$B$153,D16,TARIFAS!$C$4:$C$153,"&lt;="&amp;J16,TARIFAS!$D$4:$D$153,"&gt;="&amp;J16),0)</f>
        <v>6.12</v>
      </c>
      <c r="L16" s="17" t="n">
        <f aca="false">K16*IFERROR(INDEX(TRANSPORTISTAS!$D$4:$D$8,MATCH(C16,TRANSPORTISTAS!$A$4:$A$8,0)),0)</f>
        <v>0.7344</v>
      </c>
      <c r="M16" s="17" t="n">
        <f aca="false">IFERROR(INDEX(TRANSPORTISTAS!$E$4:$E$8,MATCH(C16,TRANSPORTISTAS!$A$4:$A$8,0)),0)</f>
        <v>0.25</v>
      </c>
      <c r="N16" s="17" t="n">
        <f aca="false">K16+L16+M16</f>
        <v>7.1044</v>
      </c>
      <c r="O16" s="15" t="n">
        <v>7.08</v>
      </c>
      <c r="P16" s="17" t="n">
        <f aca="false">O16-N16</f>
        <v>-0.0244</v>
      </c>
      <c r="Q16" s="20" t="n">
        <f aca="false">IFERROR(P16/N16,0)</f>
        <v>-0.00343449130116547</v>
      </c>
      <c r="R16" s="21" t="str">
        <f aca="false">IF(ABS(Q16)&lt;=CONFIGURACION!$B$6,"✅ Correcto","⚠ Revisar")</f>
        <v>✅ Correcto</v>
      </c>
      <c r="S16" s="16"/>
    </row>
    <row r="17" customFormat="false" ht="15" hidden="false" customHeight="false" outlineLevel="0" collapsed="false">
      <c r="A17" s="22" t="n">
        <v>46218</v>
      </c>
      <c r="B17" s="23" t="s">
        <v>112</v>
      </c>
      <c r="C17" s="23" t="s">
        <v>33</v>
      </c>
      <c r="D17" s="23" t="s">
        <v>76</v>
      </c>
      <c r="E17" s="24" t="n">
        <v>11.9</v>
      </c>
      <c r="F17" s="23" t="n">
        <v>54</v>
      </c>
      <c r="G17" s="23" t="n">
        <v>30</v>
      </c>
      <c r="H17" s="23" t="n">
        <v>13</v>
      </c>
      <c r="I17" s="24" t="n">
        <f aca="false">(F17*G17*H17)/CONFIGURACION!$B$5</f>
        <v>4.212</v>
      </c>
      <c r="J17" s="24" t="n">
        <f aca="false">MAX(E17,I17)</f>
        <v>11.9</v>
      </c>
      <c r="K17" s="25" t="n">
        <f aca="false">IFERROR(SUMIFS(TARIFAS!$E$4:$E$153,TARIFAS!$A$4:$A$153,C17,TARIFAS!$B$4:$B$153,D17,TARIFAS!$C$4:$C$153,"&lt;="&amp;J17,TARIFAS!$D$4:$D$153,"&gt;="&amp;J17),0)</f>
        <v>15.96</v>
      </c>
      <c r="L17" s="25" t="n">
        <f aca="false">K17*IFERROR(INDEX(TRANSPORTISTAS!$D$4:$D$8,MATCH(C17,TRANSPORTISTAS!$A$4:$A$8,0)),0)</f>
        <v>2.5536</v>
      </c>
      <c r="M17" s="25" t="n">
        <f aca="false">IFERROR(INDEX(TRANSPORTISTAS!$E$4:$E$8,MATCH(C17,TRANSPORTISTAS!$A$4:$A$8,0)),0)</f>
        <v>0.35</v>
      </c>
      <c r="N17" s="25" t="n">
        <f aca="false">K17+L17+M17</f>
        <v>18.8636</v>
      </c>
      <c r="O17" s="15" t="n">
        <v>18.95</v>
      </c>
      <c r="P17" s="25" t="n">
        <f aca="false">O17-N17</f>
        <v>0.0863999999999976</v>
      </c>
      <c r="Q17" s="26" t="n">
        <f aca="false">IFERROR(P17/N17,0)</f>
        <v>0.00458024979325249</v>
      </c>
      <c r="R17" s="27" t="str">
        <f aca="false">IF(ABS(Q17)&lt;=CONFIGURACION!$B$6,"✅ Correcto","⚠ Revisar")</f>
        <v>✅ Correcto</v>
      </c>
      <c r="S17" s="23"/>
    </row>
    <row r="18" customFormat="false" ht="15" hidden="false" customHeight="false" outlineLevel="0" collapsed="false">
      <c r="A18" s="18" t="n">
        <v>46241</v>
      </c>
      <c r="B18" s="16" t="s">
        <v>113</v>
      </c>
      <c r="C18" s="16" t="s">
        <v>33</v>
      </c>
      <c r="D18" s="16" t="s">
        <v>76</v>
      </c>
      <c r="E18" s="19" t="n">
        <v>19.2</v>
      </c>
      <c r="F18" s="16" t="n">
        <v>58</v>
      </c>
      <c r="G18" s="16" t="n">
        <v>45</v>
      </c>
      <c r="H18" s="16" t="n">
        <v>30</v>
      </c>
      <c r="I18" s="19" t="n">
        <f aca="false">(F18*G18*H18)/CONFIGURACION!$B$5</f>
        <v>15.66</v>
      </c>
      <c r="J18" s="19" t="n">
        <f aca="false">MAX(E18,I18)</f>
        <v>19.2</v>
      </c>
      <c r="K18" s="17" t="n">
        <f aca="false">IFERROR(SUMIFS(TARIFAS!$E$4:$E$153,TARIFAS!$A$4:$A$153,C18,TARIFAS!$B$4:$B$153,D18,TARIFAS!$C$4:$C$153,"&lt;="&amp;J18,TARIFAS!$D$4:$D$153,"&gt;="&amp;J18),0)</f>
        <v>15.96</v>
      </c>
      <c r="L18" s="17" t="n">
        <f aca="false">K18*IFERROR(INDEX(TRANSPORTISTAS!$D$4:$D$8,MATCH(C18,TRANSPORTISTAS!$A$4:$A$8,0)),0)</f>
        <v>2.5536</v>
      </c>
      <c r="M18" s="17" t="n">
        <f aca="false">IFERROR(INDEX(TRANSPORTISTAS!$E$4:$E$8,MATCH(C18,TRANSPORTISTAS!$A$4:$A$8,0)),0)</f>
        <v>0.35</v>
      </c>
      <c r="N18" s="17" t="n">
        <f aca="false">K18+L18+M18</f>
        <v>18.8636</v>
      </c>
      <c r="O18" s="15" t="n">
        <v>18.79</v>
      </c>
      <c r="P18" s="17" t="n">
        <f aca="false">O18-N18</f>
        <v>-0.0736000000000026</v>
      </c>
      <c r="Q18" s="20" t="n">
        <f aca="false">IFERROR(P18/N18,0)</f>
        <v>-0.00390169426832644</v>
      </c>
      <c r="R18" s="21" t="str">
        <f aca="false">IF(ABS(Q18)&lt;=CONFIGURACION!$B$6,"✅ Correcto","⚠ Revisar")</f>
        <v>✅ Correcto</v>
      </c>
      <c r="S18" s="16"/>
    </row>
    <row r="19" customFormat="false" ht="15" hidden="false" customHeight="false" outlineLevel="0" collapsed="false">
      <c r="A19" s="22" t="n">
        <v>46240</v>
      </c>
      <c r="B19" s="23" t="s">
        <v>114</v>
      </c>
      <c r="C19" s="23" t="s">
        <v>36</v>
      </c>
      <c r="D19" s="23" t="s">
        <v>76</v>
      </c>
      <c r="E19" s="24" t="n">
        <v>1.76</v>
      </c>
      <c r="F19" s="23" t="n">
        <v>28</v>
      </c>
      <c r="G19" s="23" t="n">
        <v>38</v>
      </c>
      <c r="H19" s="23" t="n">
        <v>15</v>
      </c>
      <c r="I19" s="24" t="n">
        <f aca="false">(F19*G19*H19)/CONFIGURACION!$B$5</f>
        <v>3.192</v>
      </c>
      <c r="J19" s="24" t="n">
        <f aca="false">MAX(E19,I19)</f>
        <v>3.192</v>
      </c>
      <c r="K19" s="25" t="n">
        <f aca="false">IFERROR(SUMIFS(TARIFAS!$E$4:$E$153,TARIFAS!$A$4:$A$153,C19,TARIFAS!$B$4:$B$153,D19,TARIFAS!$C$4:$C$153,"&lt;="&amp;J19,TARIFAS!$D$4:$D$153,"&gt;="&amp;J19),0)</f>
        <v>9.35</v>
      </c>
      <c r="L19" s="25" t="n">
        <f aca="false">K19*IFERROR(INDEX(TRANSPORTISTAS!$D$4:$D$8,MATCH(C19,TRANSPORTISTAS!$A$4:$A$8,0)),0)</f>
        <v>1.683</v>
      </c>
      <c r="M19" s="25" t="n">
        <f aca="false">IFERROR(INDEX(TRANSPORTISTAS!$E$4:$E$8,MATCH(C19,TRANSPORTISTAS!$A$4:$A$8,0)),0)</f>
        <v>0.5</v>
      </c>
      <c r="N19" s="25" t="n">
        <f aca="false">K19+L19+M19</f>
        <v>11.533</v>
      </c>
      <c r="O19" s="15" t="n">
        <v>11.48</v>
      </c>
      <c r="P19" s="25" t="n">
        <f aca="false">O19-N19</f>
        <v>-0.0529999999999991</v>
      </c>
      <c r="Q19" s="26" t="n">
        <f aca="false">IFERROR(P19/N19,0)</f>
        <v>-0.00459550854070919</v>
      </c>
      <c r="R19" s="27" t="str">
        <f aca="false">IF(ABS(Q19)&lt;=CONFIGURACION!$B$6,"✅ Correcto","⚠ Revisar")</f>
        <v>✅ Correcto</v>
      </c>
      <c r="S19" s="23"/>
    </row>
    <row r="20" customFormat="false" ht="15" hidden="false" customHeight="false" outlineLevel="0" collapsed="false">
      <c r="A20" s="18" t="n">
        <v>46200</v>
      </c>
      <c r="B20" s="16" t="s">
        <v>115</v>
      </c>
      <c r="C20" s="16" t="s">
        <v>37</v>
      </c>
      <c r="D20" s="16" t="s">
        <v>76</v>
      </c>
      <c r="E20" s="19" t="n">
        <v>2.5</v>
      </c>
      <c r="F20" s="16" t="n">
        <v>38</v>
      </c>
      <c r="G20" s="16" t="n">
        <v>11</v>
      </c>
      <c r="H20" s="16" t="n">
        <v>9</v>
      </c>
      <c r="I20" s="19" t="n">
        <f aca="false">(F20*G20*H20)/CONFIGURACION!$B$5</f>
        <v>0.7524</v>
      </c>
      <c r="J20" s="19" t="n">
        <f aca="false">MAX(E20,I20)</f>
        <v>2.5</v>
      </c>
      <c r="K20" s="17" t="n">
        <f aca="false">IFERROR(SUMIFS(TARIFAS!$E$4:$E$153,TARIFAS!$A$4:$A$153,C20,TARIFAS!$B$4:$B$153,D20,TARIFAS!$C$4:$C$153,"&lt;="&amp;J20,TARIFAS!$D$4:$D$153,"&gt;="&amp;J20),0)</f>
        <v>7.53</v>
      </c>
      <c r="L20" s="17" t="n">
        <f aca="false">K20*IFERROR(INDEX(TRANSPORTISTAS!$D$4:$D$8,MATCH(C20,TRANSPORTISTAS!$A$4:$A$8,0)),0)</f>
        <v>1.2801</v>
      </c>
      <c r="M20" s="17" t="n">
        <f aca="false">IFERROR(INDEX(TRANSPORTISTAS!$E$4:$E$8,MATCH(C20,TRANSPORTISTAS!$A$4:$A$8,0)),0)</f>
        <v>0.5</v>
      </c>
      <c r="N20" s="17" t="n">
        <f aca="false">K20+L20+M20</f>
        <v>9.3101</v>
      </c>
      <c r="O20" s="15" t="n">
        <v>9.27</v>
      </c>
      <c r="P20" s="17" t="n">
        <f aca="false">O20-N20</f>
        <v>-0.0401000000000007</v>
      </c>
      <c r="Q20" s="20" t="n">
        <f aca="false">IFERROR(P20/N20,0)</f>
        <v>-0.00430715029913757</v>
      </c>
      <c r="R20" s="21" t="str">
        <f aca="false">IF(ABS(Q20)&lt;=CONFIGURACION!$B$6,"✅ Correcto","⚠ Revisar")</f>
        <v>✅ Correcto</v>
      </c>
      <c r="S20" s="16"/>
    </row>
    <row r="21" customFormat="false" ht="15" hidden="false" customHeight="false" outlineLevel="0" collapsed="false">
      <c r="A21" s="22" t="n">
        <v>46216</v>
      </c>
      <c r="B21" s="23" t="s">
        <v>116</v>
      </c>
      <c r="C21" s="23" t="s">
        <v>35</v>
      </c>
      <c r="D21" s="23" t="s">
        <v>77</v>
      </c>
      <c r="E21" s="24" t="n">
        <v>10.59</v>
      </c>
      <c r="F21" s="23" t="n">
        <v>22</v>
      </c>
      <c r="G21" s="23" t="n">
        <v>41</v>
      </c>
      <c r="H21" s="23" t="n">
        <v>34</v>
      </c>
      <c r="I21" s="24" t="n">
        <f aca="false">(F21*G21*H21)/CONFIGURACION!$B$5</f>
        <v>6.1336</v>
      </c>
      <c r="J21" s="24" t="n">
        <f aca="false">MAX(E21,I21)</f>
        <v>10.59</v>
      </c>
      <c r="K21" s="25" t="n">
        <f aca="false">IFERROR(SUMIFS(TARIFAS!$E$4:$E$153,TARIFAS!$A$4:$A$153,C21,TARIFAS!$B$4:$B$153,D21,TARIFAS!$C$4:$C$153,"&lt;="&amp;J21,TARIFAS!$D$4:$D$153,"&gt;="&amp;J21),0)</f>
        <v>17.44</v>
      </c>
      <c r="L21" s="25" t="n">
        <f aca="false">K21*IFERROR(INDEX(TRANSPORTISTAS!$D$4:$D$8,MATCH(C21,TRANSPORTISTAS!$A$4:$A$8,0)),0)</f>
        <v>1.744</v>
      </c>
      <c r="M21" s="25" t="n">
        <f aca="false">IFERROR(INDEX(TRANSPORTISTAS!$E$4:$E$8,MATCH(C21,TRANSPORTISTAS!$A$4:$A$8,0)),0)</f>
        <v>0.2</v>
      </c>
      <c r="N21" s="25" t="n">
        <f aca="false">K21+L21+M21</f>
        <v>19.384</v>
      </c>
      <c r="O21" s="15" t="n">
        <v>19.31</v>
      </c>
      <c r="P21" s="25" t="n">
        <f aca="false">O21-N21</f>
        <v>-0.0740000000000016</v>
      </c>
      <c r="Q21" s="26" t="n">
        <f aca="false">IFERROR(P21/N21,0)</f>
        <v>-0.00381758151052423</v>
      </c>
      <c r="R21" s="27" t="str">
        <f aca="false">IF(ABS(Q21)&lt;=CONFIGURACION!$B$6,"✅ Correcto","⚠ Revisar")</f>
        <v>✅ Correcto</v>
      </c>
      <c r="S21" s="23"/>
    </row>
    <row r="22" customFormat="false" ht="15" hidden="false" customHeight="false" outlineLevel="0" collapsed="false">
      <c r="A22" s="18" t="n">
        <v>46206</v>
      </c>
      <c r="B22" s="16" t="s">
        <v>117</v>
      </c>
      <c r="C22" s="16" t="s">
        <v>35</v>
      </c>
      <c r="D22" s="16" t="s">
        <v>79</v>
      </c>
      <c r="E22" s="19" t="n">
        <v>10.69</v>
      </c>
      <c r="F22" s="16" t="n">
        <v>59</v>
      </c>
      <c r="G22" s="16" t="n">
        <v>20</v>
      </c>
      <c r="H22" s="16" t="n">
        <v>38</v>
      </c>
      <c r="I22" s="19" t="n">
        <f aca="false">(F22*G22*H22)/CONFIGURACION!$B$5</f>
        <v>8.968</v>
      </c>
      <c r="J22" s="19" t="n">
        <f aca="false">MAX(E22,I22)</f>
        <v>10.69</v>
      </c>
      <c r="K22" s="17" t="n">
        <f aca="false">IFERROR(SUMIFS(TARIFAS!$E$4:$E$153,TARIFAS!$A$4:$A$153,C22,TARIFAS!$B$4:$B$153,D22,TARIFAS!$C$4:$C$153,"&lt;="&amp;J22,TARIFAS!$D$4:$D$153,"&gt;="&amp;J22),0)</f>
        <v>23.26</v>
      </c>
      <c r="L22" s="17" t="n">
        <f aca="false">K22*IFERROR(INDEX(TRANSPORTISTAS!$D$4:$D$8,MATCH(C22,TRANSPORTISTAS!$A$4:$A$8,0)),0)</f>
        <v>2.326</v>
      </c>
      <c r="M22" s="17" t="n">
        <f aca="false">IFERROR(INDEX(TRANSPORTISTAS!$E$4:$E$8,MATCH(C22,TRANSPORTISTAS!$A$4:$A$8,0)),0)</f>
        <v>0.2</v>
      </c>
      <c r="N22" s="17" t="n">
        <f aca="false">K22+L22+M22</f>
        <v>25.786</v>
      </c>
      <c r="O22" s="15" t="n">
        <v>25.9</v>
      </c>
      <c r="P22" s="17" t="n">
        <f aca="false">O22-N22</f>
        <v>0.113999999999997</v>
      </c>
      <c r="Q22" s="20" t="n">
        <f aca="false">IFERROR(P22/N22,0)</f>
        <v>0.00442100364538886</v>
      </c>
      <c r="R22" s="21" t="str">
        <f aca="false">IF(ABS(Q22)&lt;=CONFIGURACION!$B$6,"✅ Correcto","⚠ Revisar")</f>
        <v>✅ Correcto</v>
      </c>
      <c r="S22" s="16"/>
    </row>
    <row r="23" customFormat="false" ht="15" hidden="false" customHeight="false" outlineLevel="0" collapsed="false">
      <c r="A23" s="22" t="n">
        <v>46223</v>
      </c>
      <c r="B23" s="23" t="s">
        <v>118</v>
      </c>
      <c r="C23" s="23" t="s">
        <v>34</v>
      </c>
      <c r="D23" s="23" t="s">
        <v>78</v>
      </c>
      <c r="E23" s="24" t="n">
        <v>20.14</v>
      </c>
      <c r="F23" s="23" t="n">
        <v>48</v>
      </c>
      <c r="G23" s="23" t="n">
        <v>29</v>
      </c>
      <c r="H23" s="23" t="n">
        <v>10</v>
      </c>
      <c r="I23" s="24" t="n">
        <f aca="false">(F23*G23*H23)/CONFIGURACION!$B$5</f>
        <v>2.784</v>
      </c>
      <c r="J23" s="24" t="n">
        <f aca="false">MAX(E23,I23)</f>
        <v>20.14</v>
      </c>
      <c r="K23" s="25" t="n">
        <f aca="false">IFERROR(SUMIFS(TARIFAS!$E$4:$E$153,TARIFAS!$A$4:$A$153,C23,TARIFAS!$B$4:$B$153,D23,TARIFAS!$C$4:$C$153,"&lt;="&amp;J23,TARIFAS!$D$4:$D$153,"&gt;="&amp;J23),0)</f>
        <v>31.16</v>
      </c>
      <c r="L23" s="25" t="n">
        <f aca="false">K23*IFERROR(INDEX(TRANSPORTISTAS!$D$4:$D$8,MATCH(C23,TRANSPORTISTAS!$A$4:$A$8,0)),0)</f>
        <v>3.7392</v>
      </c>
      <c r="M23" s="25" t="n">
        <f aca="false">IFERROR(INDEX(TRANSPORTISTAS!$E$4:$E$8,MATCH(C23,TRANSPORTISTAS!$A$4:$A$8,0)),0)</f>
        <v>0.25</v>
      </c>
      <c r="N23" s="25" t="n">
        <f aca="false">K23+L23+M23</f>
        <v>35.1492</v>
      </c>
      <c r="O23" s="15" t="n">
        <v>35.16</v>
      </c>
      <c r="P23" s="25" t="n">
        <f aca="false">O23-N23</f>
        <v>0.0107999999999961</v>
      </c>
      <c r="Q23" s="26" t="n">
        <f aca="false">IFERROR(P23/N23,0)</f>
        <v>0.000307261616195992</v>
      </c>
      <c r="R23" s="27" t="str">
        <f aca="false">IF(ABS(Q23)&lt;=CONFIGURACION!$B$6,"✅ Correcto","⚠ Revisar")</f>
        <v>✅ Correcto</v>
      </c>
      <c r="S23" s="23"/>
    </row>
    <row r="24" customFormat="false" ht="15" hidden="false" customHeight="false" outlineLevel="0" collapsed="false">
      <c r="A24" s="18" t="n">
        <v>46210</v>
      </c>
      <c r="B24" s="16" t="s">
        <v>119</v>
      </c>
      <c r="C24" s="16" t="s">
        <v>35</v>
      </c>
      <c r="D24" s="16" t="s">
        <v>79</v>
      </c>
      <c r="E24" s="19" t="n">
        <v>11.86</v>
      </c>
      <c r="F24" s="16" t="n">
        <v>47</v>
      </c>
      <c r="G24" s="16" t="n">
        <v>31</v>
      </c>
      <c r="H24" s="16" t="n">
        <v>19</v>
      </c>
      <c r="I24" s="19" t="n">
        <f aca="false">(F24*G24*H24)/CONFIGURACION!$B$5</f>
        <v>5.5366</v>
      </c>
      <c r="J24" s="19" t="n">
        <f aca="false">MAX(E24,I24)</f>
        <v>11.86</v>
      </c>
      <c r="K24" s="17" t="n">
        <f aca="false">IFERROR(SUMIFS(TARIFAS!$E$4:$E$153,TARIFAS!$A$4:$A$153,C24,TARIFAS!$B$4:$B$153,D24,TARIFAS!$C$4:$C$153,"&lt;="&amp;J24,TARIFAS!$D$4:$D$153,"&gt;="&amp;J24),0)</f>
        <v>23.26</v>
      </c>
      <c r="L24" s="17" t="n">
        <f aca="false">K24*IFERROR(INDEX(TRANSPORTISTAS!$D$4:$D$8,MATCH(C24,TRANSPORTISTAS!$A$4:$A$8,0)),0)</f>
        <v>2.326</v>
      </c>
      <c r="M24" s="17" t="n">
        <f aca="false">IFERROR(INDEX(TRANSPORTISTAS!$E$4:$E$8,MATCH(C24,TRANSPORTISTAS!$A$4:$A$8,0)),0)</f>
        <v>0.2</v>
      </c>
      <c r="N24" s="17" t="n">
        <f aca="false">K24+L24+M24</f>
        <v>25.786</v>
      </c>
      <c r="O24" s="15" t="n">
        <v>25.91</v>
      </c>
      <c r="P24" s="17" t="n">
        <f aca="false">O24-N24</f>
        <v>0.123999999999999</v>
      </c>
      <c r="Q24" s="20" t="n">
        <f aca="false">IFERROR(P24/N24,0)</f>
        <v>0.00480881098270375</v>
      </c>
      <c r="R24" s="21" t="str">
        <f aca="false">IF(ABS(Q24)&lt;=CONFIGURACION!$B$6,"✅ Correcto","⚠ Revisar")</f>
        <v>✅ Correcto</v>
      </c>
      <c r="S24" s="16"/>
    </row>
    <row r="25" customFormat="false" ht="15" hidden="false" customHeight="false" outlineLevel="0" collapsed="false">
      <c r="A25" s="22" t="n">
        <v>46212</v>
      </c>
      <c r="B25" s="23" t="s">
        <v>120</v>
      </c>
      <c r="C25" s="23" t="s">
        <v>34</v>
      </c>
      <c r="D25" s="23" t="s">
        <v>79</v>
      </c>
      <c r="E25" s="24" t="n">
        <v>16.36</v>
      </c>
      <c r="F25" s="23" t="n">
        <v>29</v>
      </c>
      <c r="G25" s="23" t="n">
        <v>22</v>
      </c>
      <c r="H25" s="23" t="n">
        <v>38</v>
      </c>
      <c r="I25" s="24" t="n">
        <f aca="false">(F25*G25*H25)/CONFIGURACION!$B$5</f>
        <v>4.8488</v>
      </c>
      <c r="J25" s="24" t="n">
        <f aca="false">MAX(E25,I25)</f>
        <v>16.36</v>
      </c>
      <c r="K25" s="25" t="n">
        <f aca="false">IFERROR(SUMIFS(TARIFAS!$E$4:$E$153,TARIFAS!$A$4:$A$153,C25,TARIFAS!$B$4:$B$153,D25,TARIFAS!$C$4:$C$153,"&lt;="&amp;J25,TARIFAS!$D$4:$D$153,"&gt;="&amp;J25),0)</f>
        <v>24.62</v>
      </c>
      <c r="L25" s="25" t="n">
        <f aca="false">K25*IFERROR(INDEX(TRANSPORTISTAS!$D$4:$D$8,MATCH(C25,TRANSPORTISTAS!$A$4:$A$8,0)),0)</f>
        <v>2.9544</v>
      </c>
      <c r="M25" s="25" t="n">
        <f aca="false">IFERROR(INDEX(TRANSPORTISTAS!$E$4:$E$8,MATCH(C25,TRANSPORTISTAS!$A$4:$A$8,0)),0)</f>
        <v>0.25</v>
      </c>
      <c r="N25" s="25" t="n">
        <f aca="false">K25+L25+M25</f>
        <v>27.8244</v>
      </c>
      <c r="O25" s="15" t="n">
        <v>27.7</v>
      </c>
      <c r="P25" s="25" t="n">
        <f aca="false">O25-N25</f>
        <v>-0.124400000000001</v>
      </c>
      <c r="Q25" s="26" t="n">
        <f aca="false">IFERROR(P25/N25,0)</f>
        <v>-0.00447089604807296</v>
      </c>
      <c r="R25" s="27" t="str">
        <f aca="false">IF(ABS(Q25)&lt;=CONFIGURACION!$B$6,"✅ Correcto","⚠ Revisar")</f>
        <v>✅ Correcto</v>
      </c>
      <c r="S25" s="23"/>
    </row>
    <row r="26" customFormat="false" ht="15" hidden="false" customHeight="false" outlineLevel="0" collapsed="false">
      <c r="A26" s="18" t="n">
        <v>46201</v>
      </c>
      <c r="B26" s="16" t="s">
        <v>121</v>
      </c>
      <c r="C26" s="16" t="s">
        <v>35</v>
      </c>
      <c r="D26" s="16" t="s">
        <v>76</v>
      </c>
      <c r="E26" s="19" t="n">
        <v>4.5</v>
      </c>
      <c r="F26" s="16" t="n">
        <v>53</v>
      </c>
      <c r="G26" s="16" t="n">
        <v>32</v>
      </c>
      <c r="H26" s="16" t="n">
        <v>33</v>
      </c>
      <c r="I26" s="19" t="n">
        <f aca="false">(F26*G26*H26)/CONFIGURACION!$B$5</f>
        <v>11.1936</v>
      </c>
      <c r="J26" s="19" t="n">
        <f aca="false">MAX(E26,I26)</f>
        <v>11.1936</v>
      </c>
      <c r="K26" s="17" t="n">
        <f aca="false">IFERROR(SUMIFS(TARIFAS!$E$4:$E$153,TARIFAS!$A$4:$A$153,C26,TARIFAS!$B$4:$B$153,D26,TARIFAS!$C$4:$C$153,"&lt;="&amp;J26,TARIFAS!$D$4:$D$153,"&gt;="&amp;J26),0)</f>
        <v>12.92</v>
      </c>
      <c r="L26" s="17" t="n">
        <f aca="false">K26*IFERROR(INDEX(TRANSPORTISTAS!$D$4:$D$8,MATCH(C26,TRANSPORTISTAS!$A$4:$A$8,0)),0)</f>
        <v>1.292</v>
      </c>
      <c r="M26" s="17" t="n">
        <f aca="false">IFERROR(INDEX(TRANSPORTISTAS!$E$4:$E$8,MATCH(C26,TRANSPORTISTAS!$A$4:$A$8,0)),0)</f>
        <v>0.2</v>
      </c>
      <c r="N26" s="17" t="n">
        <f aca="false">K26+L26+M26</f>
        <v>14.412</v>
      </c>
      <c r="O26" s="15" t="n">
        <v>14.48</v>
      </c>
      <c r="P26" s="17" t="n">
        <f aca="false">O26-N26</f>
        <v>0.0680000000000014</v>
      </c>
      <c r="Q26" s="20" t="n">
        <f aca="false">IFERROR(P26/N26,0)</f>
        <v>0.00471829031362763</v>
      </c>
      <c r="R26" s="21" t="str">
        <f aca="false">IF(ABS(Q26)&lt;=CONFIGURACION!$B$6,"✅ Correcto","⚠ Revisar")</f>
        <v>✅ Correcto</v>
      </c>
      <c r="S26" s="16"/>
    </row>
    <row r="27" customFormat="false" ht="15" hidden="false" customHeight="false" outlineLevel="0" collapsed="false">
      <c r="A27" s="22" t="n">
        <v>46223</v>
      </c>
      <c r="B27" s="23" t="s">
        <v>122</v>
      </c>
      <c r="C27" s="23" t="s">
        <v>33</v>
      </c>
      <c r="D27" s="23" t="s">
        <v>76</v>
      </c>
      <c r="E27" s="24" t="n">
        <v>5.22</v>
      </c>
      <c r="F27" s="23" t="n">
        <v>27</v>
      </c>
      <c r="G27" s="23" t="n">
        <v>31</v>
      </c>
      <c r="H27" s="23" t="n">
        <v>18</v>
      </c>
      <c r="I27" s="24" t="n">
        <f aca="false">(F27*G27*H27)/CONFIGURACION!$B$5</f>
        <v>3.0132</v>
      </c>
      <c r="J27" s="24" t="n">
        <f aca="false">MAX(E27,I27)</f>
        <v>5.22</v>
      </c>
      <c r="K27" s="25" t="n">
        <f aca="false">IFERROR(SUMIFS(TARIFAS!$E$4:$E$153,TARIFAS!$A$4:$A$153,C27,TARIFAS!$B$4:$B$153,D27,TARIFAS!$C$4:$C$153,"&lt;="&amp;J27,TARIFAS!$D$4:$D$153,"&gt;="&amp;J27),0)</f>
        <v>10.08</v>
      </c>
      <c r="L27" s="25" t="n">
        <f aca="false">K27*IFERROR(INDEX(TRANSPORTISTAS!$D$4:$D$8,MATCH(C27,TRANSPORTISTAS!$A$4:$A$8,0)),0)</f>
        <v>1.6128</v>
      </c>
      <c r="M27" s="25" t="n">
        <f aca="false">IFERROR(INDEX(TRANSPORTISTAS!$E$4:$E$8,MATCH(C27,TRANSPORTISTAS!$A$4:$A$8,0)),0)</f>
        <v>0.35</v>
      </c>
      <c r="N27" s="25" t="n">
        <f aca="false">K27+L27+M27</f>
        <v>12.0428</v>
      </c>
      <c r="O27" s="15" t="n">
        <v>12.09</v>
      </c>
      <c r="P27" s="25" t="n">
        <f aca="false">O27-N27</f>
        <v>0.0472000000000001</v>
      </c>
      <c r="Q27" s="26" t="n">
        <f aca="false">IFERROR(P27/N27,0)</f>
        <v>0.00391935430298603</v>
      </c>
      <c r="R27" s="27" t="str">
        <f aca="false">IF(ABS(Q27)&lt;=CONFIGURACION!$B$6,"✅ Correcto","⚠ Revisar")</f>
        <v>✅ Correcto</v>
      </c>
      <c r="S27" s="23"/>
    </row>
    <row r="28" customFormat="false" ht="15" hidden="false" customHeight="false" outlineLevel="0" collapsed="false">
      <c r="A28" s="18" t="n">
        <v>46200</v>
      </c>
      <c r="B28" s="16" t="s">
        <v>123</v>
      </c>
      <c r="C28" s="16" t="s">
        <v>36</v>
      </c>
      <c r="D28" s="16" t="s">
        <v>79</v>
      </c>
      <c r="E28" s="19" t="n">
        <v>7.76</v>
      </c>
      <c r="F28" s="16" t="n">
        <v>56</v>
      </c>
      <c r="G28" s="16" t="n">
        <v>15</v>
      </c>
      <c r="H28" s="16" t="n">
        <v>12</v>
      </c>
      <c r="I28" s="19" t="n">
        <f aca="false">(F28*G28*H28)/CONFIGURACION!$B$5</f>
        <v>2.016</v>
      </c>
      <c r="J28" s="19" t="n">
        <f aca="false">MAX(E28,I28)</f>
        <v>7.76</v>
      </c>
      <c r="K28" s="17" t="n">
        <f aca="false">IFERROR(SUMIFS(TARIFAS!$E$4:$E$153,TARIFAS!$A$4:$A$153,C28,TARIFAS!$B$4:$B$153,D28,TARIFAS!$C$4:$C$153,"&lt;="&amp;J28,TARIFAS!$D$4:$D$153,"&gt;="&amp;J28),0)</f>
        <v>23.76</v>
      </c>
      <c r="L28" s="17" t="n">
        <f aca="false">K28*IFERROR(INDEX(TRANSPORTISTAS!$D$4:$D$8,MATCH(C28,TRANSPORTISTAS!$A$4:$A$8,0)),0)</f>
        <v>4.2768</v>
      </c>
      <c r="M28" s="17" t="n">
        <f aca="false">IFERROR(INDEX(TRANSPORTISTAS!$E$4:$E$8,MATCH(C28,TRANSPORTISTAS!$A$4:$A$8,0)),0)</f>
        <v>0.5</v>
      </c>
      <c r="N28" s="17" t="n">
        <f aca="false">K28+L28+M28</f>
        <v>28.5368</v>
      </c>
      <c r="O28" s="15" t="n">
        <v>28.61</v>
      </c>
      <c r="P28" s="17" t="n">
        <f aca="false">O28-N28</f>
        <v>0.0731999999999999</v>
      </c>
      <c r="Q28" s="20" t="n">
        <f aca="false">IFERROR(P28/N28,0)</f>
        <v>0.00256510891200134</v>
      </c>
      <c r="R28" s="21" t="str">
        <f aca="false">IF(ABS(Q28)&lt;=CONFIGURACION!$B$6,"✅ Correcto","⚠ Revisar")</f>
        <v>✅ Correcto</v>
      </c>
      <c r="S28" s="16"/>
    </row>
    <row r="29" customFormat="false" ht="15" hidden="false" customHeight="false" outlineLevel="0" collapsed="false">
      <c r="A29" s="22" t="n">
        <v>46230</v>
      </c>
      <c r="B29" s="23" t="s">
        <v>124</v>
      </c>
      <c r="C29" s="23" t="s">
        <v>34</v>
      </c>
      <c r="D29" s="23" t="s">
        <v>76</v>
      </c>
      <c r="E29" s="24" t="n">
        <v>14.1</v>
      </c>
      <c r="F29" s="23" t="n">
        <v>20</v>
      </c>
      <c r="G29" s="23" t="n">
        <v>35</v>
      </c>
      <c r="H29" s="23" t="n">
        <v>34</v>
      </c>
      <c r="I29" s="24" t="n">
        <f aca="false">(F29*G29*H29)/CONFIGURACION!$B$5</f>
        <v>4.76</v>
      </c>
      <c r="J29" s="24" t="n">
        <f aca="false">MAX(E29,I29)</f>
        <v>14.1</v>
      </c>
      <c r="K29" s="25" t="n">
        <f aca="false">IFERROR(SUMIFS(TARIFAS!$E$4:$E$153,TARIFAS!$A$4:$A$153,C29,TARIFAS!$B$4:$B$153,D29,TARIFAS!$C$4:$C$153,"&lt;="&amp;J29,TARIFAS!$D$4:$D$153,"&gt;="&amp;J29),0)</f>
        <v>13.68</v>
      </c>
      <c r="L29" s="25" t="n">
        <f aca="false">K29*IFERROR(INDEX(TRANSPORTISTAS!$D$4:$D$8,MATCH(C29,TRANSPORTISTAS!$A$4:$A$8,0)),0)</f>
        <v>1.6416</v>
      </c>
      <c r="M29" s="25" t="n">
        <f aca="false">IFERROR(INDEX(TRANSPORTISTAS!$E$4:$E$8,MATCH(C29,TRANSPORTISTAS!$A$4:$A$8,0)),0)</f>
        <v>0.25</v>
      </c>
      <c r="N29" s="25" t="n">
        <f aca="false">K29+L29+M29</f>
        <v>15.5716</v>
      </c>
      <c r="O29" s="15" t="n">
        <v>15.51</v>
      </c>
      <c r="P29" s="25" t="n">
        <f aca="false">O29-N29</f>
        <v>-0.0616000000000003</v>
      </c>
      <c r="Q29" s="26" t="n">
        <f aca="false">IFERROR(P29/N29,0)</f>
        <v>-0.00395591975134221</v>
      </c>
      <c r="R29" s="27" t="str">
        <f aca="false">IF(ABS(Q29)&lt;=CONFIGURACION!$B$6,"✅ Correcto","⚠ Revisar")</f>
        <v>✅ Correcto</v>
      </c>
      <c r="S29" s="23"/>
    </row>
    <row r="30" customFormat="false" ht="15" hidden="false" customHeight="false" outlineLevel="0" collapsed="false">
      <c r="A30" s="18" t="n">
        <v>46210</v>
      </c>
      <c r="B30" s="16" t="s">
        <v>125</v>
      </c>
      <c r="C30" s="16" t="s">
        <v>34</v>
      </c>
      <c r="D30" s="16" t="s">
        <v>80</v>
      </c>
      <c r="E30" s="19" t="n">
        <v>0.9</v>
      </c>
      <c r="F30" s="16" t="n">
        <v>52</v>
      </c>
      <c r="G30" s="16" t="n">
        <v>39</v>
      </c>
      <c r="H30" s="16" t="n">
        <v>14</v>
      </c>
      <c r="I30" s="19" t="n">
        <f aca="false">(F30*G30*H30)/CONFIGURACION!$B$5</f>
        <v>5.6784</v>
      </c>
      <c r="J30" s="19" t="n">
        <f aca="false">MAX(E30,I30)</f>
        <v>5.6784</v>
      </c>
      <c r="K30" s="17" t="n">
        <f aca="false">IFERROR(SUMIFS(TARIFAS!$E$4:$E$153,TARIFAS!$A$4:$A$153,C30,TARIFAS!$B$4:$B$153,D30,TARIFAS!$C$4:$C$153,"&lt;="&amp;J30,TARIFAS!$D$4:$D$153,"&gt;="&amp;J30),0)</f>
        <v>20.74</v>
      </c>
      <c r="L30" s="17" t="n">
        <f aca="false">K30*IFERROR(INDEX(TRANSPORTISTAS!$D$4:$D$8,MATCH(C30,TRANSPORTISTAS!$A$4:$A$8,0)),0)</f>
        <v>2.4888</v>
      </c>
      <c r="M30" s="17" t="n">
        <f aca="false">IFERROR(INDEX(TRANSPORTISTAS!$E$4:$E$8,MATCH(C30,TRANSPORTISTAS!$A$4:$A$8,0)),0)</f>
        <v>0.25</v>
      </c>
      <c r="N30" s="17" t="n">
        <f aca="false">K30+L30+M30</f>
        <v>23.4788</v>
      </c>
      <c r="O30" s="15" t="n">
        <v>23.59</v>
      </c>
      <c r="P30" s="17" t="n">
        <f aca="false">O30-N30</f>
        <v>0.1112</v>
      </c>
      <c r="Q30" s="20" t="n">
        <f aca="false">IFERROR(P30/N30,0)</f>
        <v>0.00473618753939725</v>
      </c>
      <c r="R30" s="21" t="str">
        <f aca="false">IF(ABS(Q30)&lt;=CONFIGURACION!$B$6,"✅ Correcto","⚠ Revisar")</f>
        <v>✅ Correcto</v>
      </c>
      <c r="S30" s="16"/>
    </row>
    <row r="31" customFormat="false" ht="15" hidden="false" customHeight="false" outlineLevel="0" collapsed="false">
      <c r="A31" s="22" t="n">
        <v>46242</v>
      </c>
      <c r="B31" s="23" t="s">
        <v>126</v>
      </c>
      <c r="C31" s="23" t="s">
        <v>35</v>
      </c>
      <c r="D31" s="23" t="s">
        <v>76</v>
      </c>
      <c r="E31" s="24" t="n">
        <v>12.2</v>
      </c>
      <c r="F31" s="23" t="n">
        <v>16</v>
      </c>
      <c r="G31" s="23" t="n">
        <v>10</v>
      </c>
      <c r="H31" s="23" t="n">
        <v>11</v>
      </c>
      <c r="I31" s="24" t="n">
        <f aca="false">(F31*G31*H31)/CONFIGURACION!$B$5</f>
        <v>0.352</v>
      </c>
      <c r="J31" s="24" t="n">
        <f aca="false">MAX(E31,I31)</f>
        <v>12.2</v>
      </c>
      <c r="K31" s="25" t="n">
        <f aca="false">IFERROR(SUMIFS(TARIFAS!$E$4:$E$153,TARIFAS!$A$4:$A$153,C31,TARIFAS!$B$4:$B$153,D31,TARIFAS!$C$4:$C$153,"&lt;="&amp;J31,TARIFAS!$D$4:$D$153,"&gt;="&amp;J31),0)</f>
        <v>12.92</v>
      </c>
      <c r="L31" s="25" t="n">
        <f aca="false">K31*IFERROR(INDEX(TRANSPORTISTAS!$D$4:$D$8,MATCH(C31,TRANSPORTISTAS!$A$4:$A$8,0)),0)</f>
        <v>1.292</v>
      </c>
      <c r="M31" s="25" t="n">
        <f aca="false">IFERROR(INDEX(TRANSPORTISTAS!$E$4:$E$8,MATCH(C31,TRANSPORTISTAS!$A$4:$A$8,0)),0)</f>
        <v>0.2</v>
      </c>
      <c r="N31" s="25" t="n">
        <f aca="false">K31+L31+M31</f>
        <v>14.412</v>
      </c>
      <c r="O31" s="15" t="n">
        <v>14.36</v>
      </c>
      <c r="P31" s="25" t="n">
        <f aca="false">O31-N31</f>
        <v>-0.0519999999999996</v>
      </c>
      <c r="Q31" s="26" t="n">
        <f aca="false">IFERROR(P31/N31,0)</f>
        <v>-0.00360810435747985</v>
      </c>
      <c r="R31" s="27" t="str">
        <f aca="false">IF(ABS(Q31)&lt;=CONFIGURACION!$B$6,"✅ Correcto","⚠ Revisar")</f>
        <v>✅ Correcto</v>
      </c>
      <c r="S31" s="23"/>
    </row>
    <row r="32" customFormat="false" ht="15" hidden="false" customHeight="false" outlineLevel="0" collapsed="false">
      <c r="A32" s="18" t="n">
        <v>46212</v>
      </c>
      <c r="B32" s="16" t="s">
        <v>127</v>
      </c>
      <c r="C32" s="16" t="s">
        <v>34</v>
      </c>
      <c r="D32" s="16" t="s">
        <v>76</v>
      </c>
      <c r="E32" s="19" t="n">
        <v>4.92</v>
      </c>
      <c r="F32" s="16" t="n">
        <v>47</v>
      </c>
      <c r="G32" s="16" t="n">
        <v>25</v>
      </c>
      <c r="H32" s="16" t="n">
        <v>25</v>
      </c>
      <c r="I32" s="19" t="n">
        <f aca="false">(F32*G32*H32)/CONFIGURACION!$B$5</f>
        <v>5.875</v>
      </c>
      <c r="J32" s="19" t="n">
        <f aca="false">MAX(E32,I32)</f>
        <v>5.875</v>
      </c>
      <c r="K32" s="17" t="n">
        <f aca="false">IFERROR(SUMIFS(TARIFAS!$E$4:$E$153,TARIFAS!$A$4:$A$153,C32,TARIFAS!$B$4:$B$153,D32,TARIFAS!$C$4:$C$153,"&lt;="&amp;J32,TARIFAS!$D$4:$D$153,"&gt;="&amp;J32),0)</f>
        <v>8.64</v>
      </c>
      <c r="L32" s="17" t="n">
        <f aca="false">K32*IFERROR(INDEX(TRANSPORTISTAS!$D$4:$D$8,MATCH(C32,TRANSPORTISTAS!$A$4:$A$8,0)),0)</f>
        <v>1.0368</v>
      </c>
      <c r="M32" s="17" t="n">
        <f aca="false">IFERROR(INDEX(TRANSPORTISTAS!$E$4:$E$8,MATCH(C32,TRANSPORTISTAS!$A$4:$A$8,0)),0)</f>
        <v>0.25</v>
      </c>
      <c r="N32" s="17" t="n">
        <f aca="false">K32+L32+M32</f>
        <v>9.9268</v>
      </c>
      <c r="O32" s="15" t="n">
        <v>9.96</v>
      </c>
      <c r="P32" s="17" t="n">
        <f aca="false">O32-N32</f>
        <v>0.0332000000000008</v>
      </c>
      <c r="Q32" s="20" t="n">
        <f aca="false">IFERROR(P32/N32,0)</f>
        <v>0.00334448160535125</v>
      </c>
      <c r="R32" s="21" t="str">
        <f aca="false">IF(ABS(Q32)&lt;=CONFIGURACION!$B$6,"✅ Correcto","⚠ Revisar")</f>
        <v>✅ Correcto</v>
      </c>
      <c r="S32" s="16"/>
    </row>
    <row r="33" customFormat="false" ht="15" hidden="false" customHeight="false" outlineLevel="0" collapsed="false">
      <c r="A33" s="22" t="n">
        <v>46203</v>
      </c>
      <c r="B33" s="23" t="s">
        <v>128</v>
      </c>
      <c r="C33" s="23" t="s">
        <v>35</v>
      </c>
      <c r="D33" s="23" t="s">
        <v>79</v>
      </c>
      <c r="E33" s="24" t="n">
        <v>14.68</v>
      </c>
      <c r="F33" s="23" t="n">
        <v>48</v>
      </c>
      <c r="G33" s="23" t="n">
        <v>36</v>
      </c>
      <c r="H33" s="23" t="n">
        <v>37</v>
      </c>
      <c r="I33" s="24" t="n">
        <f aca="false">(F33*G33*H33)/CONFIGURACION!$B$5</f>
        <v>12.7872</v>
      </c>
      <c r="J33" s="24" t="n">
        <f aca="false">MAX(E33,I33)</f>
        <v>14.68</v>
      </c>
      <c r="K33" s="25" t="n">
        <f aca="false">IFERROR(SUMIFS(TARIFAS!$E$4:$E$153,TARIFAS!$A$4:$A$153,C33,TARIFAS!$B$4:$B$153,D33,TARIFAS!$C$4:$C$153,"&lt;="&amp;J33,TARIFAS!$D$4:$D$153,"&gt;="&amp;J33),0)</f>
        <v>23.26</v>
      </c>
      <c r="L33" s="25" t="n">
        <f aca="false">K33*IFERROR(INDEX(TRANSPORTISTAS!$D$4:$D$8,MATCH(C33,TRANSPORTISTAS!$A$4:$A$8,0)),0)</f>
        <v>2.326</v>
      </c>
      <c r="M33" s="25" t="n">
        <f aca="false">IFERROR(INDEX(TRANSPORTISTAS!$E$4:$E$8,MATCH(C33,TRANSPORTISTAS!$A$4:$A$8,0)),0)</f>
        <v>0.2</v>
      </c>
      <c r="N33" s="25" t="n">
        <f aca="false">K33+L33+M33</f>
        <v>25.786</v>
      </c>
      <c r="O33" s="15" t="n">
        <v>25.79</v>
      </c>
      <c r="P33" s="25" t="n">
        <f aca="false">O33-N33</f>
        <v>0.00399999999999778</v>
      </c>
      <c r="Q33" s="26" t="n">
        <f aca="false">IFERROR(P33/N33,0)</f>
        <v>0.000155122934925843</v>
      </c>
      <c r="R33" s="27" t="str">
        <f aca="false">IF(ABS(Q33)&lt;=CONFIGURACION!$B$6,"✅ Correcto","⚠ Revisar")</f>
        <v>✅ Correcto</v>
      </c>
      <c r="S33" s="23"/>
    </row>
    <row r="34" customFormat="false" ht="15" hidden="false" customHeight="false" outlineLevel="0" collapsed="false">
      <c r="A34" s="18" t="n">
        <v>46201</v>
      </c>
      <c r="B34" s="16" t="s">
        <v>129</v>
      </c>
      <c r="C34" s="16" t="s">
        <v>36</v>
      </c>
      <c r="D34" s="16" t="s">
        <v>79</v>
      </c>
      <c r="E34" s="19" t="n">
        <v>13.51</v>
      </c>
      <c r="F34" s="16" t="n">
        <v>24</v>
      </c>
      <c r="G34" s="16" t="n">
        <v>21</v>
      </c>
      <c r="H34" s="16" t="n">
        <v>14</v>
      </c>
      <c r="I34" s="19" t="n">
        <f aca="false">(F34*G34*H34)/CONFIGURACION!$B$5</f>
        <v>1.4112</v>
      </c>
      <c r="J34" s="19" t="n">
        <f aca="false">MAX(E34,I34)</f>
        <v>13.51</v>
      </c>
      <c r="K34" s="17" t="n">
        <f aca="false">IFERROR(SUMIFS(TARIFAS!$E$4:$E$153,TARIFAS!$A$4:$A$153,C34,TARIFAS!$B$4:$B$153,D34,TARIFAS!$C$4:$C$153,"&lt;="&amp;J34,TARIFAS!$D$4:$D$153,"&gt;="&amp;J34),0)</f>
        <v>37.62</v>
      </c>
      <c r="L34" s="17" t="n">
        <f aca="false">K34*IFERROR(INDEX(TRANSPORTISTAS!$D$4:$D$8,MATCH(C34,TRANSPORTISTAS!$A$4:$A$8,0)),0)</f>
        <v>6.7716</v>
      </c>
      <c r="M34" s="17" t="n">
        <f aca="false">IFERROR(INDEX(TRANSPORTISTAS!$E$4:$E$8,MATCH(C34,TRANSPORTISTAS!$A$4:$A$8,0)),0)</f>
        <v>0.5</v>
      </c>
      <c r="N34" s="17" t="n">
        <f aca="false">K34+L34+M34</f>
        <v>44.8916</v>
      </c>
      <c r="O34" s="15" t="n">
        <v>44.72</v>
      </c>
      <c r="P34" s="17" t="n">
        <f aca="false">O34-N34</f>
        <v>-0.171599999999998</v>
      </c>
      <c r="Q34" s="20" t="n">
        <f aca="false">IFERROR(P34/N34,0)</f>
        <v>-0.00382254141086524</v>
      </c>
      <c r="R34" s="21" t="str">
        <f aca="false">IF(ABS(Q34)&lt;=CONFIGURACION!$B$6,"✅ Correcto","⚠ Revisar")</f>
        <v>✅ Correcto</v>
      </c>
      <c r="S34" s="16"/>
    </row>
    <row r="35" customFormat="false" ht="15" hidden="false" customHeight="false" outlineLevel="0" collapsed="false">
      <c r="A35" s="22" t="n">
        <v>46203</v>
      </c>
      <c r="B35" s="23" t="s">
        <v>130</v>
      </c>
      <c r="C35" s="23" t="s">
        <v>35</v>
      </c>
      <c r="D35" s="23" t="s">
        <v>78</v>
      </c>
      <c r="E35" s="24" t="n">
        <v>11.82</v>
      </c>
      <c r="F35" s="23" t="n">
        <v>45</v>
      </c>
      <c r="G35" s="23" t="n">
        <v>16</v>
      </c>
      <c r="H35" s="23" t="n">
        <v>40</v>
      </c>
      <c r="I35" s="24" t="n">
        <f aca="false">(F35*G35*H35)/CONFIGURACION!$B$5</f>
        <v>5.76</v>
      </c>
      <c r="J35" s="24" t="n">
        <f aca="false">MAX(E35,I35)</f>
        <v>11.82</v>
      </c>
      <c r="K35" s="25" t="n">
        <f aca="false">IFERROR(SUMIFS(TARIFAS!$E$4:$E$153,TARIFAS!$A$4:$A$153,C35,TARIFAS!$B$4:$B$153,D35,TARIFAS!$C$4:$C$153,"&lt;="&amp;J35,TARIFAS!$D$4:$D$153,"&gt;="&amp;J35),0)</f>
        <v>20.67</v>
      </c>
      <c r="L35" s="25" t="n">
        <f aca="false">K35*IFERROR(INDEX(TRANSPORTISTAS!$D$4:$D$8,MATCH(C35,TRANSPORTISTAS!$A$4:$A$8,0)),0)</f>
        <v>2.067</v>
      </c>
      <c r="M35" s="25" t="n">
        <f aca="false">IFERROR(INDEX(TRANSPORTISTAS!$E$4:$E$8,MATCH(C35,TRANSPORTISTAS!$A$4:$A$8,0)),0)</f>
        <v>0.2</v>
      </c>
      <c r="N35" s="25" t="n">
        <f aca="false">K35+L35+M35</f>
        <v>22.937</v>
      </c>
      <c r="O35" s="15" t="n">
        <v>22.89</v>
      </c>
      <c r="P35" s="25" t="n">
        <f aca="false">O35-N35</f>
        <v>-0.0470000000000006</v>
      </c>
      <c r="Q35" s="26" t="n">
        <f aca="false">IFERROR(P35/N35,0)</f>
        <v>-0.00204909098835945</v>
      </c>
      <c r="R35" s="27" t="str">
        <f aca="false">IF(ABS(Q35)&lt;=CONFIGURACION!$B$6,"✅ Correcto","⚠ Revisar")</f>
        <v>✅ Correcto</v>
      </c>
      <c r="S35" s="23"/>
    </row>
    <row r="36" customFormat="false" ht="15" hidden="false" customHeight="false" outlineLevel="0" collapsed="false">
      <c r="A36" s="18" t="n">
        <v>46206</v>
      </c>
      <c r="B36" s="16" t="s">
        <v>131</v>
      </c>
      <c r="C36" s="16" t="s">
        <v>37</v>
      </c>
      <c r="D36" s="16" t="s">
        <v>76</v>
      </c>
      <c r="E36" s="19" t="n">
        <v>0.9</v>
      </c>
      <c r="F36" s="16" t="n">
        <v>19</v>
      </c>
      <c r="G36" s="16" t="n">
        <v>38</v>
      </c>
      <c r="H36" s="16" t="n">
        <v>25</v>
      </c>
      <c r="I36" s="19" t="n">
        <f aca="false">(F36*G36*H36)/CONFIGURACION!$B$5</f>
        <v>3.61</v>
      </c>
      <c r="J36" s="19" t="n">
        <f aca="false">MAX(E36,I36)</f>
        <v>3.61</v>
      </c>
      <c r="K36" s="17" t="n">
        <f aca="false">IFERROR(SUMIFS(TARIFAS!$E$4:$E$153,TARIFAS!$A$4:$A$153,C36,TARIFAS!$B$4:$B$153,D36,TARIFAS!$C$4:$C$153,"&lt;="&amp;J36,TARIFAS!$D$4:$D$153,"&gt;="&amp;J36),0)</f>
        <v>9.01</v>
      </c>
      <c r="L36" s="17" t="n">
        <f aca="false">K36*IFERROR(INDEX(TRANSPORTISTAS!$D$4:$D$8,MATCH(C36,TRANSPORTISTAS!$A$4:$A$8,0)),0)</f>
        <v>1.5317</v>
      </c>
      <c r="M36" s="17" t="n">
        <f aca="false">IFERROR(INDEX(TRANSPORTISTAS!$E$4:$E$8,MATCH(C36,TRANSPORTISTAS!$A$4:$A$8,0)),0)</f>
        <v>0.5</v>
      </c>
      <c r="N36" s="17" t="n">
        <f aca="false">K36+L36+M36</f>
        <v>11.0417</v>
      </c>
      <c r="O36" s="15" t="n">
        <v>11.05</v>
      </c>
      <c r="P36" s="17" t="n">
        <f aca="false">O36-N36</f>
        <v>0.0083000000000002</v>
      </c>
      <c r="Q36" s="20" t="n">
        <f aca="false">IFERROR(P36/N36,0)</f>
        <v>0.000751695843937093</v>
      </c>
      <c r="R36" s="21" t="str">
        <f aca="false">IF(ABS(Q36)&lt;=CONFIGURACION!$B$6,"✅ Correcto","⚠ Revisar")</f>
        <v>✅ Correcto</v>
      </c>
      <c r="S36" s="16"/>
    </row>
    <row r="37" customFormat="false" ht="15" hidden="false" customHeight="false" outlineLevel="0" collapsed="false">
      <c r="A37" s="22" t="n">
        <v>46212</v>
      </c>
      <c r="B37" s="23" t="s">
        <v>132</v>
      </c>
      <c r="C37" s="23" t="s">
        <v>35</v>
      </c>
      <c r="D37" s="23" t="s">
        <v>76</v>
      </c>
      <c r="E37" s="24" t="n">
        <v>11.87</v>
      </c>
      <c r="F37" s="23" t="n">
        <v>45</v>
      </c>
      <c r="G37" s="23" t="n">
        <v>42</v>
      </c>
      <c r="H37" s="23" t="n">
        <v>20</v>
      </c>
      <c r="I37" s="24" t="n">
        <f aca="false">(F37*G37*H37)/CONFIGURACION!$B$5</f>
        <v>7.56</v>
      </c>
      <c r="J37" s="24" t="n">
        <f aca="false">MAX(E37,I37)</f>
        <v>11.87</v>
      </c>
      <c r="K37" s="25" t="n">
        <f aca="false">IFERROR(SUMIFS(TARIFAS!$E$4:$E$153,TARIFAS!$A$4:$A$153,C37,TARIFAS!$B$4:$B$153,D37,TARIFAS!$C$4:$C$153,"&lt;="&amp;J37,TARIFAS!$D$4:$D$153,"&gt;="&amp;J37),0)</f>
        <v>12.92</v>
      </c>
      <c r="L37" s="25" t="n">
        <f aca="false">K37*IFERROR(INDEX(TRANSPORTISTAS!$D$4:$D$8,MATCH(C37,TRANSPORTISTAS!$A$4:$A$8,0)),0)</f>
        <v>1.292</v>
      </c>
      <c r="M37" s="25" t="n">
        <f aca="false">IFERROR(INDEX(TRANSPORTISTAS!$E$4:$E$8,MATCH(C37,TRANSPORTISTAS!$A$4:$A$8,0)),0)</f>
        <v>0.2</v>
      </c>
      <c r="N37" s="25" t="n">
        <f aca="false">K37+L37+M37</f>
        <v>14.412</v>
      </c>
      <c r="O37" s="15" t="n">
        <v>14.47</v>
      </c>
      <c r="P37" s="25" t="n">
        <f aca="false">O37-N37</f>
        <v>0.0580000000000016</v>
      </c>
      <c r="Q37" s="26" t="n">
        <f aca="false">IFERROR(P37/N37,0)</f>
        <v>0.00402442409103536</v>
      </c>
      <c r="R37" s="27" t="str">
        <f aca="false">IF(ABS(Q37)&lt;=CONFIGURACION!$B$6,"✅ Correcto","⚠ Revisar")</f>
        <v>✅ Correcto</v>
      </c>
      <c r="S37" s="23"/>
    </row>
    <row r="38" customFormat="false" ht="15" hidden="false" customHeight="false" outlineLevel="0" collapsed="false">
      <c r="A38" s="18" t="n">
        <v>46216</v>
      </c>
      <c r="B38" s="16" t="s">
        <v>133</v>
      </c>
      <c r="C38" s="16" t="s">
        <v>37</v>
      </c>
      <c r="D38" s="16" t="s">
        <v>79</v>
      </c>
      <c r="E38" s="19" t="n">
        <v>4.7</v>
      </c>
      <c r="F38" s="16" t="n">
        <v>43</v>
      </c>
      <c r="G38" s="16" t="n">
        <v>18</v>
      </c>
      <c r="H38" s="16" t="n">
        <v>31</v>
      </c>
      <c r="I38" s="19" t="n">
        <f aca="false">(F38*G38*H38)/CONFIGURACION!$B$5</f>
        <v>4.7988</v>
      </c>
      <c r="J38" s="19" t="n">
        <f aca="false">MAX(E38,I38)</f>
        <v>4.7988</v>
      </c>
      <c r="K38" s="17" t="n">
        <f aca="false">IFERROR(SUMIFS(TARIFAS!$E$4:$E$153,TARIFAS!$A$4:$A$153,C38,TARIFAS!$B$4:$B$153,D38,TARIFAS!$C$4:$C$153,"&lt;="&amp;J38,TARIFAS!$D$4:$D$153,"&gt;="&amp;J38),0)</f>
        <v>16.22</v>
      </c>
      <c r="L38" s="17" t="n">
        <f aca="false">K38*IFERROR(INDEX(TRANSPORTISTAS!$D$4:$D$8,MATCH(C38,TRANSPORTISTAS!$A$4:$A$8,0)),0)</f>
        <v>2.7574</v>
      </c>
      <c r="M38" s="17" t="n">
        <f aca="false">IFERROR(INDEX(TRANSPORTISTAS!$E$4:$E$8,MATCH(C38,TRANSPORTISTAS!$A$4:$A$8,0)),0)</f>
        <v>0.5</v>
      </c>
      <c r="N38" s="17" t="n">
        <f aca="false">K38+L38+M38</f>
        <v>19.4774</v>
      </c>
      <c r="O38" s="15" t="n">
        <v>19.44</v>
      </c>
      <c r="P38" s="17" t="n">
        <f aca="false">O38-N38</f>
        <v>-0.0373999999999981</v>
      </c>
      <c r="Q38" s="20" t="n">
        <f aca="false">IFERROR(P38/N38,0)</f>
        <v>-0.00192017415055388</v>
      </c>
      <c r="R38" s="21" t="str">
        <f aca="false">IF(ABS(Q38)&lt;=CONFIGURACION!$B$6,"✅ Correcto","⚠ Revisar")</f>
        <v>✅ Correcto</v>
      </c>
      <c r="S38" s="16"/>
    </row>
    <row r="39" customFormat="false" ht="15" hidden="false" customHeight="false" outlineLevel="0" collapsed="false">
      <c r="A39" s="22" t="n">
        <v>46242</v>
      </c>
      <c r="B39" s="23" t="s">
        <v>134</v>
      </c>
      <c r="C39" s="23" t="s">
        <v>34</v>
      </c>
      <c r="D39" s="23" t="s">
        <v>76</v>
      </c>
      <c r="E39" s="24" t="n">
        <v>4.92</v>
      </c>
      <c r="F39" s="23" t="n">
        <v>34</v>
      </c>
      <c r="G39" s="23" t="n">
        <v>17</v>
      </c>
      <c r="H39" s="23" t="n">
        <v>14</v>
      </c>
      <c r="I39" s="24" t="n">
        <f aca="false">(F39*G39*H39)/CONFIGURACION!$B$5</f>
        <v>1.6184</v>
      </c>
      <c r="J39" s="24" t="n">
        <f aca="false">MAX(E39,I39)</f>
        <v>4.92</v>
      </c>
      <c r="K39" s="25" t="n">
        <f aca="false">IFERROR(SUMIFS(TARIFAS!$E$4:$E$153,TARIFAS!$A$4:$A$153,C39,TARIFAS!$B$4:$B$153,D39,TARIFAS!$C$4:$C$153,"&lt;="&amp;J39,TARIFAS!$D$4:$D$153,"&gt;="&amp;J39),0)</f>
        <v>6.12</v>
      </c>
      <c r="L39" s="25" t="n">
        <f aca="false">K39*IFERROR(INDEX(TRANSPORTISTAS!$D$4:$D$8,MATCH(C39,TRANSPORTISTAS!$A$4:$A$8,0)),0)</f>
        <v>0.7344</v>
      </c>
      <c r="M39" s="25" t="n">
        <f aca="false">IFERROR(INDEX(TRANSPORTISTAS!$E$4:$E$8,MATCH(C39,TRANSPORTISTAS!$A$4:$A$8,0)),0)</f>
        <v>0.25</v>
      </c>
      <c r="N39" s="25" t="n">
        <f aca="false">K39+L39+M39</f>
        <v>7.1044</v>
      </c>
      <c r="O39" s="15" t="n">
        <v>7.09</v>
      </c>
      <c r="P39" s="25" t="n">
        <f aca="false">O39-N39</f>
        <v>-0.0144000000000002</v>
      </c>
      <c r="Q39" s="26" t="n">
        <f aca="false">IFERROR(P39/N39,0)</f>
        <v>-0.0020269128990485</v>
      </c>
      <c r="R39" s="27" t="str">
        <f aca="false">IF(ABS(Q39)&lt;=CONFIGURACION!$B$6,"✅ Correcto","⚠ Revisar")</f>
        <v>✅ Correcto</v>
      </c>
      <c r="S39" s="23"/>
    </row>
    <row r="40" customFormat="false" ht="15" hidden="false" customHeight="false" outlineLevel="0" collapsed="false">
      <c r="A40" s="18" t="n">
        <v>46216</v>
      </c>
      <c r="B40" s="16" t="s">
        <v>135</v>
      </c>
      <c r="C40" s="16" t="s">
        <v>34</v>
      </c>
      <c r="D40" s="16" t="s">
        <v>80</v>
      </c>
      <c r="E40" s="19" t="n">
        <v>5.07</v>
      </c>
      <c r="F40" s="16" t="n">
        <v>21</v>
      </c>
      <c r="G40" s="16" t="n">
        <v>35</v>
      </c>
      <c r="H40" s="16" t="n">
        <v>36</v>
      </c>
      <c r="I40" s="19" t="n">
        <f aca="false">(F40*G40*H40)/CONFIGURACION!$B$5</f>
        <v>5.292</v>
      </c>
      <c r="J40" s="19" t="n">
        <f aca="false">MAX(E40,I40)</f>
        <v>5.292</v>
      </c>
      <c r="K40" s="17" t="n">
        <f aca="false">IFERROR(SUMIFS(TARIFAS!$E$4:$E$153,TARIFAS!$A$4:$A$153,C40,TARIFAS!$B$4:$B$153,D40,TARIFAS!$C$4:$C$153,"&lt;="&amp;J40,TARIFAS!$D$4:$D$153,"&gt;="&amp;J40),0)</f>
        <v>20.74</v>
      </c>
      <c r="L40" s="17" t="n">
        <f aca="false">K40*IFERROR(INDEX(TRANSPORTISTAS!$D$4:$D$8,MATCH(C40,TRANSPORTISTAS!$A$4:$A$8,0)),0)</f>
        <v>2.4888</v>
      </c>
      <c r="M40" s="17" t="n">
        <f aca="false">IFERROR(INDEX(TRANSPORTISTAS!$E$4:$E$8,MATCH(C40,TRANSPORTISTAS!$A$4:$A$8,0)),0)</f>
        <v>0.25</v>
      </c>
      <c r="N40" s="17" t="n">
        <f aca="false">K40+L40+M40</f>
        <v>23.4788</v>
      </c>
      <c r="O40" s="15" t="n">
        <v>23.55</v>
      </c>
      <c r="P40" s="17" t="n">
        <f aca="false">O40-N40</f>
        <v>0.071200000000001</v>
      </c>
      <c r="Q40" s="20" t="n">
        <f aca="false">IFERROR(P40/N40,0)</f>
        <v>0.00303252295688029</v>
      </c>
      <c r="R40" s="21" t="str">
        <f aca="false">IF(ABS(Q40)&lt;=CONFIGURACION!$B$6,"✅ Correcto","⚠ Revisar")</f>
        <v>✅ Correcto</v>
      </c>
      <c r="S40" s="16"/>
    </row>
    <row r="41" customFormat="false" ht="15" hidden="false" customHeight="false" outlineLevel="0" collapsed="false">
      <c r="A41" s="22" t="n">
        <v>46210</v>
      </c>
      <c r="B41" s="23" t="s">
        <v>136</v>
      </c>
      <c r="C41" s="23" t="s">
        <v>36</v>
      </c>
      <c r="D41" s="23" t="s">
        <v>80</v>
      </c>
      <c r="E41" s="24" t="n">
        <v>9.06</v>
      </c>
      <c r="F41" s="23" t="n">
        <v>41</v>
      </c>
      <c r="G41" s="23" t="n">
        <v>22</v>
      </c>
      <c r="H41" s="23" t="n">
        <v>27</v>
      </c>
      <c r="I41" s="24" t="n">
        <f aca="false">(F41*G41*H41)/CONFIGURACION!$B$5</f>
        <v>4.8708</v>
      </c>
      <c r="J41" s="24" t="n">
        <f aca="false">MAX(E41,I41)</f>
        <v>9.06</v>
      </c>
      <c r="K41" s="25" t="n">
        <f aca="false">IFERROR(SUMIFS(TARIFAS!$E$4:$E$153,TARIFAS!$A$4:$A$153,C41,TARIFAS!$B$4:$B$153,D41,TARIFAS!$C$4:$C$153,"&lt;="&amp;J41,TARIFAS!$D$4:$D$153,"&gt;="&amp;J41),0)</f>
        <v>31.68</v>
      </c>
      <c r="L41" s="25" t="n">
        <f aca="false">K41*IFERROR(INDEX(TRANSPORTISTAS!$D$4:$D$8,MATCH(C41,TRANSPORTISTAS!$A$4:$A$8,0)),0)</f>
        <v>5.7024</v>
      </c>
      <c r="M41" s="25" t="n">
        <f aca="false">IFERROR(INDEX(TRANSPORTISTAS!$E$4:$E$8,MATCH(C41,TRANSPORTISTAS!$A$4:$A$8,0)),0)</f>
        <v>0.5</v>
      </c>
      <c r="N41" s="25" t="n">
        <f aca="false">K41+L41+M41</f>
        <v>37.8824</v>
      </c>
      <c r="O41" s="15" t="n">
        <v>43.96</v>
      </c>
      <c r="P41" s="25" t="n">
        <f aca="false">O41-N41</f>
        <v>6.0776</v>
      </c>
      <c r="Q41" s="26" t="n">
        <f aca="false">IFERROR(P41/N41,0)</f>
        <v>0.160433341076595</v>
      </c>
      <c r="R41" s="27" t="str">
        <f aca="false">IF(ABS(Q41)&lt;=CONFIGURACION!$B$6,"✅ Correcto","⚠ Revisar")</f>
        <v>⚠ Revisar</v>
      </c>
      <c r="S41" s="23"/>
    </row>
    <row r="42" customFormat="false" ht="15" hidden="false" customHeight="false" outlineLevel="0" collapsed="false">
      <c r="A42" s="18" t="n">
        <v>46221</v>
      </c>
      <c r="B42" s="16" t="s">
        <v>137</v>
      </c>
      <c r="C42" s="16" t="s">
        <v>37</v>
      </c>
      <c r="D42" s="16" t="s">
        <v>76</v>
      </c>
      <c r="E42" s="19" t="n">
        <v>15.56</v>
      </c>
      <c r="F42" s="16" t="n">
        <v>39</v>
      </c>
      <c r="G42" s="16" t="n">
        <v>31</v>
      </c>
      <c r="H42" s="16" t="n">
        <v>38</v>
      </c>
      <c r="I42" s="19" t="n">
        <f aca="false">(F42*G42*H42)/CONFIGURACION!$B$5</f>
        <v>9.1884</v>
      </c>
      <c r="J42" s="19" t="n">
        <f aca="false">MAX(E42,I42)</f>
        <v>15.56</v>
      </c>
      <c r="K42" s="17" t="n">
        <f aca="false">IFERROR(SUMIFS(TARIFAS!$E$4:$E$153,TARIFAS!$A$4:$A$153,C42,TARIFAS!$B$4:$B$153,D42,TARIFAS!$C$4:$C$153,"&lt;="&amp;J42,TARIFAS!$D$4:$D$153,"&gt;="&amp;J42),0)</f>
        <v>20.14</v>
      </c>
      <c r="L42" s="17" t="n">
        <f aca="false">K42*IFERROR(INDEX(TRANSPORTISTAS!$D$4:$D$8,MATCH(C42,TRANSPORTISTAS!$A$4:$A$8,0)),0)</f>
        <v>3.4238</v>
      </c>
      <c r="M42" s="17" t="n">
        <f aca="false">IFERROR(INDEX(TRANSPORTISTAS!$E$4:$E$8,MATCH(C42,TRANSPORTISTAS!$A$4:$A$8,0)),0)</f>
        <v>0.5</v>
      </c>
      <c r="N42" s="17" t="n">
        <f aca="false">K42+L42+M42</f>
        <v>24.0638</v>
      </c>
      <c r="O42" s="15" t="n">
        <v>24.17</v>
      </c>
      <c r="P42" s="17" t="n">
        <f aca="false">O42-N42</f>
        <v>0.106200000000001</v>
      </c>
      <c r="Q42" s="20" t="n">
        <f aca="false">IFERROR(P42/N42,0)</f>
        <v>0.00441326806240083</v>
      </c>
      <c r="R42" s="21" t="str">
        <f aca="false">IF(ABS(Q42)&lt;=CONFIGURACION!$B$6,"✅ Correcto","⚠ Revisar")</f>
        <v>✅ Correcto</v>
      </c>
      <c r="S42" s="16"/>
    </row>
    <row r="43" customFormat="false" ht="15" hidden="false" customHeight="false" outlineLevel="0" collapsed="false">
      <c r="A43" s="22" t="n">
        <v>46207</v>
      </c>
      <c r="B43" s="23" t="s">
        <v>138</v>
      </c>
      <c r="C43" s="23" t="s">
        <v>34</v>
      </c>
      <c r="D43" s="23" t="s">
        <v>80</v>
      </c>
      <c r="E43" s="24" t="n">
        <v>2.57</v>
      </c>
      <c r="F43" s="23" t="n">
        <v>31</v>
      </c>
      <c r="G43" s="23" t="n">
        <v>27</v>
      </c>
      <c r="H43" s="23" t="n">
        <v>7</v>
      </c>
      <c r="I43" s="24" t="n">
        <f aca="false">(F43*G43*H43)/CONFIGURACION!$B$5</f>
        <v>1.1718</v>
      </c>
      <c r="J43" s="24" t="n">
        <f aca="false">MAX(E43,I43)</f>
        <v>2.57</v>
      </c>
      <c r="K43" s="25" t="n">
        <f aca="false">IFERROR(SUMIFS(TARIFAS!$E$4:$E$153,TARIFAS!$A$4:$A$153,C43,TARIFAS!$B$4:$B$153,D43,TARIFAS!$C$4:$C$153,"&lt;="&amp;J43,TARIFAS!$D$4:$D$153,"&gt;="&amp;J43),0)</f>
        <v>12.27</v>
      </c>
      <c r="L43" s="25" t="n">
        <f aca="false">K43*IFERROR(INDEX(TRANSPORTISTAS!$D$4:$D$8,MATCH(C43,TRANSPORTISTAS!$A$4:$A$8,0)),0)</f>
        <v>1.4724</v>
      </c>
      <c r="M43" s="25" t="n">
        <f aca="false">IFERROR(INDEX(TRANSPORTISTAS!$E$4:$E$8,MATCH(C43,TRANSPORTISTAS!$A$4:$A$8,0)),0)</f>
        <v>0.25</v>
      </c>
      <c r="N43" s="25" t="n">
        <f aca="false">K43+L43+M43</f>
        <v>13.9924</v>
      </c>
      <c r="O43" s="15" t="n">
        <v>17.44</v>
      </c>
      <c r="P43" s="25" t="n">
        <f aca="false">O43-N43</f>
        <v>3.4476</v>
      </c>
      <c r="Q43" s="26" t="n">
        <f aca="false">IFERROR(P43/N43,0)</f>
        <v>0.246390897916012</v>
      </c>
      <c r="R43" s="27" t="str">
        <f aca="false">IF(ABS(Q43)&lt;=CONFIGURACION!$B$6,"✅ Correcto","⚠ Revisar")</f>
        <v>⚠ Revisar</v>
      </c>
      <c r="S43" s="23"/>
    </row>
    <row r="44" customFormat="false" ht="15" hidden="false" customHeight="false" outlineLevel="0" collapsed="false">
      <c r="A44" s="18" t="n">
        <v>46227</v>
      </c>
      <c r="B44" s="16" t="s">
        <v>139</v>
      </c>
      <c r="C44" s="16" t="s">
        <v>35</v>
      </c>
      <c r="D44" s="16" t="s">
        <v>76</v>
      </c>
      <c r="E44" s="19" t="n">
        <v>11.94</v>
      </c>
      <c r="F44" s="16" t="n">
        <v>47</v>
      </c>
      <c r="G44" s="16" t="n">
        <v>41</v>
      </c>
      <c r="H44" s="16" t="n">
        <v>25</v>
      </c>
      <c r="I44" s="19" t="n">
        <f aca="false">(F44*G44*H44)/CONFIGURACION!$B$5</f>
        <v>9.635</v>
      </c>
      <c r="J44" s="19" t="n">
        <f aca="false">MAX(E44,I44)</f>
        <v>11.94</v>
      </c>
      <c r="K44" s="17" t="n">
        <f aca="false">IFERROR(SUMIFS(TARIFAS!$E$4:$E$153,TARIFAS!$A$4:$A$153,C44,TARIFAS!$B$4:$B$153,D44,TARIFAS!$C$4:$C$153,"&lt;="&amp;J44,TARIFAS!$D$4:$D$153,"&gt;="&amp;J44),0)</f>
        <v>12.92</v>
      </c>
      <c r="L44" s="17" t="n">
        <f aca="false">K44*IFERROR(INDEX(TRANSPORTISTAS!$D$4:$D$8,MATCH(C44,TRANSPORTISTAS!$A$4:$A$8,0)),0)</f>
        <v>1.292</v>
      </c>
      <c r="M44" s="17" t="n">
        <f aca="false">IFERROR(INDEX(TRANSPORTISTAS!$E$4:$E$8,MATCH(C44,TRANSPORTISTAS!$A$4:$A$8,0)),0)</f>
        <v>0.2</v>
      </c>
      <c r="N44" s="17" t="n">
        <f aca="false">K44+L44+M44</f>
        <v>14.412</v>
      </c>
      <c r="O44" s="15" t="n">
        <v>14.46</v>
      </c>
      <c r="P44" s="17" t="n">
        <f aca="false">O44-N44</f>
        <v>0.0480000000000018</v>
      </c>
      <c r="Q44" s="20" t="n">
        <f aca="false">IFERROR(P44/N44,0)</f>
        <v>0.00333055786844309</v>
      </c>
      <c r="R44" s="21" t="str">
        <f aca="false">IF(ABS(Q44)&lt;=CONFIGURACION!$B$6,"✅ Correcto","⚠ Revisar")</f>
        <v>✅ Correcto</v>
      </c>
      <c r="S44" s="16"/>
    </row>
    <row r="45" customFormat="false" ht="15" hidden="false" customHeight="false" outlineLevel="0" collapsed="false">
      <c r="A45" s="22" t="n">
        <v>46211</v>
      </c>
      <c r="B45" s="23" t="s">
        <v>140</v>
      </c>
      <c r="C45" s="23" t="s">
        <v>36</v>
      </c>
      <c r="D45" s="23" t="s">
        <v>79</v>
      </c>
      <c r="E45" s="24" t="n">
        <v>6.14</v>
      </c>
      <c r="F45" s="23" t="n">
        <v>16</v>
      </c>
      <c r="G45" s="23" t="n">
        <v>15</v>
      </c>
      <c r="H45" s="23" t="n">
        <v>21</v>
      </c>
      <c r="I45" s="24" t="n">
        <f aca="false">(F45*G45*H45)/CONFIGURACION!$B$5</f>
        <v>1.008</v>
      </c>
      <c r="J45" s="24" t="n">
        <f aca="false">MAX(E45,I45)</f>
        <v>6.14</v>
      </c>
      <c r="K45" s="25" t="n">
        <f aca="false">IFERROR(SUMIFS(TARIFAS!$E$4:$E$153,TARIFAS!$A$4:$A$153,C45,TARIFAS!$B$4:$B$153,D45,TARIFAS!$C$4:$C$153,"&lt;="&amp;J45,TARIFAS!$D$4:$D$153,"&gt;="&amp;J45),0)</f>
        <v>23.76</v>
      </c>
      <c r="L45" s="25" t="n">
        <f aca="false">K45*IFERROR(INDEX(TRANSPORTISTAS!$D$4:$D$8,MATCH(C45,TRANSPORTISTAS!$A$4:$A$8,0)),0)</f>
        <v>4.2768</v>
      </c>
      <c r="M45" s="25" t="n">
        <f aca="false">IFERROR(INDEX(TRANSPORTISTAS!$E$4:$E$8,MATCH(C45,TRANSPORTISTAS!$A$4:$A$8,0)),0)</f>
        <v>0.5</v>
      </c>
      <c r="N45" s="25" t="n">
        <f aca="false">K45+L45+M45</f>
        <v>28.5368</v>
      </c>
      <c r="O45" s="15" t="n">
        <v>28.46</v>
      </c>
      <c r="P45" s="25" t="n">
        <f aca="false">O45-N45</f>
        <v>-0.0767999999999987</v>
      </c>
      <c r="Q45" s="26" t="n">
        <f aca="false">IFERROR(P45/N45,0)</f>
        <v>-0.00269126180931284</v>
      </c>
      <c r="R45" s="27" t="str">
        <f aca="false">IF(ABS(Q45)&lt;=CONFIGURACION!$B$6,"✅ Correcto","⚠ Revisar")</f>
        <v>✅ Correcto</v>
      </c>
      <c r="S45" s="23"/>
    </row>
    <row r="46" customFormat="false" ht="15" hidden="false" customHeight="false" outlineLevel="0" collapsed="false">
      <c r="A46" s="18" t="n">
        <v>46216</v>
      </c>
      <c r="B46" s="16" t="s">
        <v>141</v>
      </c>
      <c r="C46" s="16" t="s">
        <v>33</v>
      </c>
      <c r="D46" s="16" t="s">
        <v>76</v>
      </c>
      <c r="E46" s="19" t="n">
        <v>7.66</v>
      </c>
      <c r="F46" s="16" t="n">
        <v>50</v>
      </c>
      <c r="G46" s="16" t="n">
        <v>36</v>
      </c>
      <c r="H46" s="16" t="n">
        <v>22</v>
      </c>
      <c r="I46" s="19" t="n">
        <f aca="false">(F46*G46*H46)/CONFIGURACION!$B$5</f>
        <v>7.92</v>
      </c>
      <c r="J46" s="19" t="n">
        <f aca="false">MAX(E46,I46)</f>
        <v>7.92</v>
      </c>
      <c r="K46" s="17" t="n">
        <f aca="false">IFERROR(SUMIFS(TARIFAS!$E$4:$E$153,TARIFAS!$A$4:$A$153,C46,TARIFAS!$B$4:$B$153,D46,TARIFAS!$C$4:$C$153,"&lt;="&amp;J46,TARIFAS!$D$4:$D$153,"&gt;="&amp;J46),0)</f>
        <v>10.08</v>
      </c>
      <c r="L46" s="17" t="n">
        <f aca="false">K46*IFERROR(INDEX(TRANSPORTISTAS!$D$4:$D$8,MATCH(C46,TRANSPORTISTAS!$A$4:$A$8,0)),0)</f>
        <v>1.6128</v>
      </c>
      <c r="M46" s="17" t="n">
        <f aca="false">IFERROR(INDEX(TRANSPORTISTAS!$E$4:$E$8,MATCH(C46,TRANSPORTISTAS!$A$4:$A$8,0)),0)</f>
        <v>0.35</v>
      </c>
      <c r="N46" s="17" t="n">
        <f aca="false">K46+L46+M46</f>
        <v>12.0428</v>
      </c>
      <c r="O46" s="15" t="n">
        <v>14.4</v>
      </c>
      <c r="P46" s="17" t="n">
        <f aca="false">O46-N46</f>
        <v>2.3572</v>
      </c>
      <c r="Q46" s="20" t="n">
        <f aca="false">IFERROR(P46/N46,0)</f>
        <v>0.19573521108048</v>
      </c>
      <c r="R46" s="21" t="str">
        <f aca="false">IF(ABS(Q46)&lt;=CONFIGURACION!$B$6,"✅ Correcto","⚠ Revisar")</f>
        <v>⚠ Revisar</v>
      </c>
      <c r="S46" s="16"/>
    </row>
    <row r="47" customFormat="false" ht="15" hidden="false" customHeight="false" outlineLevel="0" collapsed="false">
      <c r="A47" s="22" t="n">
        <v>46215</v>
      </c>
      <c r="B47" s="23" t="s">
        <v>142</v>
      </c>
      <c r="C47" s="23" t="s">
        <v>33</v>
      </c>
      <c r="D47" s="23" t="s">
        <v>80</v>
      </c>
      <c r="E47" s="24" t="n">
        <v>5.98</v>
      </c>
      <c r="F47" s="23" t="n">
        <v>26</v>
      </c>
      <c r="G47" s="23" t="n">
        <v>22</v>
      </c>
      <c r="H47" s="23" t="n">
        <v>24</v>
      </c>
      <c r="I47" s="24" t="n">
        <f aca="false">(F47*G47*H47)/CONFIGURACION!$B$5</f>
        <v>2.7456</v>
      </c>
      <c r="J47" s="24" t="n">
        <f aca="false">MAX(E47,I47)</f>
        <v>5.98</v>
      </c>
      <c r="K47" s="25" t="n">
        <f aca="false">IFERROR(SUMIFS(TARIFAS!$E$4:$E$153,TARIFAS!$A$4:$A$153,C47,TARIFAS!$B$4:$B$153,D47,TARIFAS!$C$4:$C$153,"&lt;="&amp;J47,TARIFAS!$D$4:$D$153,"&gt;="&amp;J47),0)</f>
        <v>24.19</v>
      </c>
      <c r="L47" s="25" t="n">
        <f aca="false">K47*IFERROR(INDEX(TRANSPORTISTAS!$D$4:$D$8,MATCH(C47,TRANSPORTISTAS!$A$4:$A$8,0)),0)</f>
        <v>3.8704</v>
      </c>
      <c r="M47" s="25" t="n">
        <f aca="false">IFERROR(INDEX(TRANSPORTISTAS!$E$4:$E$8,MATCH(C47,TRANSPORTISTAS!$A$4:$A$8,0)),0)</f>
        <v>0.35</v>
      </c>
      <c r="N47" s="25" t="n">
        <f aca="false">K47+L47+M47</f>
        <v>28.4104</v>
      </c>
      <c r="O47" s="15" t="n">
        <v>28.49</v>
      </c>
      <c r="P47" s="25" t="n">
        <f aca="false">O47-N47</f>
        <v>0.0795999999999957</v>
      </c>
      <c r="Q47" s="26" t="n">
        <f aca="false">IFERROR(P47/N47,0)</f>
        <v>0.00280179089347548</v>
      </c>
      <c r="R47" s="27" t="str">
        <f aca="false">IF(ABS(Q47)&lt;=CONFIGURACION!$B$6,"✅ Correcto","⚠ Revisar")</f>
        <v>✅ Correcto</v>
      </c>
      <c r="S47" s="23"/>
    </row>
    <row r="48" customFormat="false" ht="15" hidden="false" customHeight="false" outlineLevel="0" collapsed="false">
      <c r="A48" s="18" t="n">
        <v>46218</v>
      </c>
      <c r="B48" s="16" t="s">
        <v>143</v>
      </c>
      <c r="C48" s="16" t="s">
        <v>36</v>
      </c>
      <c r="D48" s="16" t="s">
        <v>76</v>
      </c>
      <c r="E48" s="19" t="n">
        <v>4.16</v>
      </c>
      <c r="F48" s="16" t="n">
        <v>37</v>
      </c>
      <c r="G48" s="16" t="n">
        <v>11</v>
      </c>
      <c r="H48" s="16" t="n">
        <v>21</v>
      </c>
      <c r="I48" s="19" t="n">
        <f aca="false">(F48*G48*H48)/CONFIGURACION!$B$5</f>
        <v>1.7094</v>
      </c>
      <c r="J48" s="19" t="n">
        <f aca="false">MAX(E48,I48)</f>
        <v>4.16</v>
      </c>
      <c r="K48" s="17" t="n">
        <f aca="false">IFERROR(SUMIFS(TARIFAS!$E$4:$E$153,TARIFAS!$A$4:$A$153,C48,TARIFAS!$B$4:$B$153,D48,TARIFAS!$C$4:$C$153,"&lt;="&amp;J48,TARIFAS!$D$4:$D$153,"&gt;="&amp;J48),0)</f>
        <v>9.35</v>
      </c>
      <c r="L48" s="17" t="n">
        <f aca="false">K48*IFERROR(INDEX(TRANSPORTISTAS!$D$4:$D$8,MATCH(C48,TRANSPORTISTAS!$A$4:$A$8,0)),0)</f>
        <v>1.683</v>
      </c>
      <c r="M48" s="17" t="n">
        <f aca="false">IFERROR(INDEX(TRANSPORTISTAS!$E$4:$E$8,MATCH(C48,TRANSPORTISTAS!$A$4:$A$8,0)),0)</f>
        <v>0.5</v>
      </c>
      <c r="N48" s="17" t="n">
        <f aca="false">K48+L48+M48</f>
        <v>11.533</v>
      </c>
      <c r="O48" s="15" t="n">
        <v>14.32</v>
      </c>
      <c r="P48" s="17" t="n">
        <f aca="false">O48-N48</f>
        <v>2.787</v>
      </c>
      <c r="Q48" s="20" t="n">
        <f aca="false">IFERROR(P48/N48,0)</f>
        <v>0.241654383074655</v>
      </c>
      <c r="R48" s="21" t="str">
        <f aca="false">IF(ABS(Q48)&lt;=CONFIGURACION!$B$6,"✅ Correcto","⚠ Revisar")</f>
        <v>⚠ Revisar</v>
      </c>
      <c r="S48" s="16"/>
    </row>
    <row r="49" customFormat="false" ht="15" hidden="false" customHeight="false" outlineLevel="0" collapsed="false">
      <c r="A49" s="22" t="n">
        <v>46235</v>
      </c>
      <c r="B49" s="23" t="s">
        <v>144</v>
      </c>
      <c r="C49" s="23" t="s">
        <v>34</v>
      </c>
      <c r="D49" s="23" t="s">
        <v>76</v>
      </c>
      <c r="E49" s="24" t="n">
        <v>5.63</v>
      </c>
      <c r="F49" s="23" t="n">
        <v>43</v>
      </c>
      <c r="G49" s="23" t="n">
        <v>16</v>
      </c>
      <c r="H49" s="23" t="n">
        <v>32</v>
      </c>
      <c r="I49" s="24" t="n">
        <f aca="false">(F49*G49*H49)/CONFIGURACION!$B$5</f>
        <v>4.4032</v>
      </c>
      <c r="J49" s="24" t="n">
        <f aca="false">MAX(E49,I49)</f>
        <v>5.63</v>
      </c>
      <c r="K49" s="25" t="n">
        <f aca="false">IFERROR(SUMIFS(TARIFAS!$E$4:$E$153,TARIFAS!$A$4:$A$153,C49,TARIFAS!$B$4:$B$153,D49,TARIFAS!$C$4:$C$153,"&lt;="&amp;J49,TARIFAS!$D$4:$D$153,"&gt;="&amp;J49),0)</f>
        <v>8.64</v>
      </c>
      <c r="L49" s="25" t="n">
        <f aca="false">K49*IFERROR(INDEX(TRANSPORTISTAS!$D$4:$D$8,MATCH(C49,TRANSPORTISTAS!$A$4:$A$8,0)),0)</f>
        <v>1.0368</v>
      </c>
      <c r="M49" s="25" t="n">
        <f aca="false">IFERROR(INDEX(TRANSPORTISTAS!$E$4:$E$8,MATCH(C49,TRANSPORTISTAS!$A$4:$A$8,0)),0)</f>
        <v>0.25</v>
      </c>
      <c r="N49" s="25" t="n">
        <f aca="false">K49+L49+M49</f>
        <v>9.9268</v>
      </c>
      <c r="O49" s="15" t="n">
        <v>9.96</v>
      </c>
      <c r="P49" s="25" t="n">
        <f aca="false">O49-N49</f>
        <v>0.0332000000000008</v>
      </c>
      <c r="Q49" s="26" t="n">
        <f aca="false">IFERROR(P49/N49,0)</f>
        <v>0.00334448160535125</v>
      </c>
      <c r="R49" s="27" t="str">
        <f aca="false">IF(ABS(Q49)&lt;=CONFIGURACION!$B$6,"✅ Correcto","⚠ Revisar")</f>
        <v>✅ Correcto</v>
      </c>
      <c r="S49" s="23"/>
    </row>
    <row r="50" customFormat="false" ht="15" hidden="false" customHeight="false" outlineLevel="0" collapsed="false">
      <c r="A50" s="18" t="n">
        <v>46225</v>
      </c>
      <c r="B50" s="16" t="s">
        <v>145</v>
      </c>
      <c r="C50" s="16" t="s">
        <v>37</v>
      </c>
      <c r="D50" s="16" t="s">
        <v>76</v>
      </c>
      <c r="E50" s="19" t="n">
        <v>4.97</v>
      </c>
      <c r="F50" s="16" t="n">
        <v>29</v>
      </c>
      <c r="G50" s="16" t="n">
        <v>31</v>
      </c>
      <c r="H50" s="16" t="n">
        <v>17</v>
      </c>
      <c r="I50" s="19" t="n">
        <f aca="false">(F50*G50*H50)/CONFIGURACION!$B$5</f>
        <v>3.0566</v>
      </c>
      <c r="J50" s="19" t="n">
        <f aca="false">MAX(E50,I50)</f>
        <v>4.97</v>
      </c>
      <c r="K50" s="17" t="n">
        <f aca="false">IFERROR(SUMIFS(TARIFAS!$E$4:$E$153,TARIFAS!$A$4:$A$153,C50,TARIFAS!$B$4:$B$153,D50,TARIFAS!$C$4:$C$153,"&lt;="&amp;J50,TARIFAS!$D$4:$D$153,"&gt;="&amp;J50),0)</f>
        <v>9.01</v>
      </c>
      <c r="L50" s="17" t="n">
        <f aca="false">K50*IFERROR(INDEX(TRANSPORTISTAS!$D$4:$D$8,MATCH(C50,TRANSPORTISTAS!$A$4:$A$8,0)),0)</f>
        <v>1.5317</v>
      </c>
      <c r="M50" s="17" t="n">
        <f aca="false">IFERROR(INDEX(TRANSPORTISTAS!$E$4:$E$8,MATCH(C50,TRANSPORTISTAS!$A$4:$A$8,0)),0)</f>
        <v>0.5</v>
      </c>
      <c r="N50" s="17" t="n">
        <f aca="false">K50+L50+M50</f>
        <v>11.0417</v>
      </c>
      <c r="O50" s="15" t="n">
        <v>11.07</v>
      </c>
      <c r="P50" s="17" t="n">
        <f aca="false">O50-N50</f>
        <v>0.0282999999999998</v>
      </c>
      <c r="Q50" s="20" t="n">
        <f aca="false">IFERROR(P50/N50,0)</f>
        <v>0.00256301113053242</v>
      </c>
      <c r="R50" s="21" t="str">
        <f aca="false">IF(ABS(Q50)&lt;=CONFIGURACION!$B$6,"✅ Correcto","⚠ Revisar")</f>
        <v>✅ Correcto</v>
      </c>
      <c r="S50" s="16"/>
    </row>
    <row r="51" customFormat="false" ht="15" hidden="false" customHeight="false" outlineLevel="0" collapsed="false">
      <c r="A51" s="22" t="n">
        <v>46208</v>
      </c>
      <c r="B51" s="23" t="s">
        <v>146</v>
      </c>
      <c r="C51" s="23" t="s">
        <v>36</v>
      </c>
      <c r="D51" s="23" t="s">
        <v>80</v>
      </c>
      <c r="E51" s="24" t="n">
        <v>21.61</v>
      </c>
      <c r="F51" s="23" t="n">
        <v>23</v>
      </c>
      <c r="G51" s="23" t="n">
        <v>10</v>
      </c>
      <c r="H51" s="23" t="n">
        <v>9</v>
      </c>
      <c r="I51" s="24" t="n">
        <f aca="false">(F51*G51*H51)/CONFIGURACION!$B$5</f>
        <v>0.414</v>
      </c>
      <c r="J51" s="24" t="n">
        <f aca="false">MAX(E51,I51)</f>
        <v>21.61</v>
      </c>
      <c r="K51" s="25" t="n">
        <f aca="false">IFERROR(SUMIFS(TARIFAS!$E$4:$E$153,TARIFAS!$A$4:$A$153,C51,TARIFAS!$B$4:$B$153,D51,TARIFAS!$C$4:$C$153,"&lt;="&amp;J51,TARIFAS!$D$4:$D$153,"&gt;="&amp;J51),0)</f>
        <v>71.41</v>
      </c>
      <c r="L51" s="25" t="n">
        <f aca="false">K51*IFERROR(INDEX(TRANSPORTISTAS!$D$4:$D$8,MATCH(C51,TRANSPORTISTAS!$A$4:$A$8,0)),0)</f>
        <v>12.8538</v>
      </c>
      <c r="M51" s="25" t="n">
        <f aca="false">IFERROR(INDEX(TRANSPORTISTAS!$E$4:$E$8,MATCH(C51,TRANSPORTISTAS!$A$4:$A$8,0)),0)</f>
        <v>0.5</v>
      </c>
      <c r="N51" s="25" t="n">
        <f aca="false">K51+L51+M51</f>
        <v>84.7638</v>
      </c>
      <c r="O51" s="15" t="n">
        <v>84.56</v>
      </c>
      <c r="P51" s="25" t="n">
        <f aca="false">O51-N51</f>
        <v>-0.203800000000001</v>
      </c>
      <c r="Q51" s="26" t="n">
        <f aca="false">IFERROR(P51/N51,0)</f>
        <v>-0.00240432826277256</v>
      </c>
      <c r="R51" s="27" t="str">
        <f aca="false">IF(ABS(Q51)&lt;=CONFIGURACION!$B$6,"✅ Correcto","⚠ Revisar")</f>
        <v>✅ Correcto</v>
      </c>
      <c r="S51" s="23"/>
    </row>
    <row r="52" customFormat="false" ht="15" hidden="false" customHeight="false" outlineLevel="0" collapsed="false">
      <c r="A52" s="18" t="n">
        <v>46210</v>
      </c>
      <c r="B52" s="16" t="s">
        <v>147</v>
      </c>
      <c r="C52" s="16" t="s">
        <v>33</v>
      </c>
      <c r="D52" s="16" t="s">
        <v>76</v>
      </c>
      <c r="E52" s="19" t="n">
        <v>18.56</v>
      </c>
      <c r="F52" s="16" t="n">
        <v>47</v>
      </c>
      <c r="G52" s="16" t="n">
        <v>28</v>
      </c>
      <c r="H52" s="16" t="n">
        <v>20</v>
      </c>
      <c r="I52" s="19" t="n">
        <f aca="false">(F52*G52*H52)/CONFIGURACION!$B$5</f>
        <v>5.264</v>
      </c>
      <c r="J52" s="19" t="n">
        <f aca="false">MAX(E52,I52)</f>
        <v>18.56</v>
      </c>
      <c r="K52" s="17" t="n">
        <f aca="false">IFERROR(SUMIFS(TARIFAS!$E$4:$E$153,TARIFAS!$A$4:$A$153,C52,TARIFAS!$B$4:$B$153,D52,TARIFAS!$C$4:$C$153,"&lt;="&amp;J52,TARIFAS!$D$4:$D$153,"&gt;="&amp;J52),0)</f>
        <v>15.96</v>
      </c>
      <c r="L52" s="17" t="n">
        <f aca="false">K52*IFERROR(INDEX(TRANSPORTISTAS!$D$4:$D$8,MATCH(C52,TRANSPORTISTAS!$A$4:$A$8,0)),0)</f>
        <v>2.5536</v>
      </c>
      <c r="M52" s="17" t="n">
        <f aca="false">IFERROR(INDEX(TRANSPORTISTAS!$E$4:$E$8,MATCH(C52,TRANSPORTISTAS!$A$4:$A$8,0)),0)</f>
        <v>0.35</v>
      </c>
      <c r="N52" s="17" t="n">
        <f aca="false">K52+L52+M52</f>
        <v>18.8636</v>
      </c>
      <c r="O52" s="15" t="n">
        <v>18.86</v>
      </c>
      <c r="P52" s="17" t="n">
        <f aca="false">O52-N52</f>
        <v>-0.00360000000000227</v>
      </c>
      <c r="Q52" s="20" t="n">
        <f aca="false">IFERROR(P52/N52,0)</f>
        <v>-0.000190843741385646</v>
      </c>
      <c r="R52" s="21" t="str">
        <f aca="false">IF(ABS(Q52)&lt;=CONFIGURACION!$B$6,"✅ Correcto","⚠ Revisar")</f>
        <v>✅ Correcto</v>
      </c>
      <c r="S52" s="16"/>
    </row>
    <row r="53" customFormat="false" ht="15" hidden="false" customHeight="false" outlineLevel="0" collapsed="false">
      <c r="A53" s="22" t="n">
        <v>46210</v>
      </c>
      <c r="B53" s="23" t="s">
        <v>148</v>
      </c>
      <c r="C53" s="23" t="s">
        <v>35</v>
      </c>
      <c r="D53" s="23" t="s">
        <v>76</v>
      </c>
      <c r="E53" s="24" t="n">
        <v>6.01</v>
      </c>
      <c r="F53" s="23" t="n">
        <v>36</v>
      </c>
      <c r="G53" s="23" t="n">
        <v>45</v>
      </c>
      <c r="H53" s="23" t="n">
        <v>25</v>
      </c>
      <c r="I53" s="24" t="n">
        <f aca="false">(F53*G53*H53)/CONFIGURACION!$B$5</f>
        <v>8.1</v>
      </c>
      <c r="J53" s="24" t="n">
        <f aca="false">MAX(E53,I53)</f>
        <v>8.1</v>
      </c>
      <c r="K53" s="25" t="n">
        <f aca="false">IFERROR(SUMIFS(TARIFAS!$E$4:$E$153,TARIFAS!$A$4:$A$153,C53,TARIFAS!$B$4:$B$153,D53,TARIFAS!$C$4:$C$153,"&lt;="&amp;J53,TARIFAS!$D$4:$D$153,"&gt;="&amp;J53),0)</f>
        <v>8.16</v>
      </c>
      <c r="L53" s="25" t="n">
        <f aca="false">K53*IFERROR(INDEX(TRANSPORTISTAS!$D$4:$D$8,MATCH(C53,TRANSPORTISTAS!$A$4:$A$8,0)),0)</f>
        <v>0.816</v>
      </c>
      <c r="M53" s="25" t="n">
        <f aca="false">IFERROR(INDEX(TRANSPORTISTAS!$E$4:$E$8,MATCH(C53,TRANSPORTISTAS!$A$4:$A$8,0)),0)</f>
        <v>0.2</v>
      </c>
      <c r="N53" s="25" t="n">
        <f aca="false">K53+L53+M53</f>
        <v>9.176</v>
      </c>
      <c r="O53" s="15" t="n">
        <v>11.69</v>
      </c>
      <c r="P53" s="25" t="n">
        <f aca="false">O53-N53</f>
        <v>2.514</v>
      </c>
      <c r="Q53" s="26" t="n">
        <f aca="false">IFERROR(P53/N53,0)</f>
        <v>0.273975588491717</v>
      </c>
      <c r="R53" s="27" t="str">
        <f aca="false">IF(ABS(Q53)&lt;=CONFIGURACION!$B$6,"✅ Correcto","⚠ Revisar")</f>
        <v>⚠ Revisar</v>
      </c>
      <c r="S53" s="23"/>
    </row>
    <row r="54" customFormat="false" ht="15" hidden="false" customHeight="false" outlineLevel="0" collapsed="false">
      <c r="A54" s="18" t="n">
        <v>46213</v>
      </c>
      <c r="B54" s="16" t="s">
        <v>149</v>
      </c>
      <c r="C54" s="16" t="s">
        <v>35</v>
      </c>
      <c r="D54" s="16" t="s">
        <v>76</v>
      </c>
      <c r="E54" s="19" t="n">
        <v>7.58</v>
      </c>
      <c r="F54" s="16" t="n">
        <v>20</v>
      </c>
      <c r="G54" s="16" t="n">
        <v>40</v>
      </c>
      <c r="H54" s="16" t="n">
        <v>22</v>
      </c>
      <c r="I54" s="19" t="n">
        <f aca="false">(F54*G54*H54)/CONFIGURACION!$B$5</f>
        <v>3.52</v>
      </c>
      <c r="J54" s="19" t="n">
        <f aca="false">MAX(E54,I54)</f>
        <v>7.58</v>
      </c>
      <c r="K54" s="17" t="n">
        <f aca="false">IFERROR(SUMIFS(TARIFAS!$E$4:$E$153,TARIFAS!$A$4:$A$153,C54,TARIFAS!$B$4:$B$153,D54,TARIFAS!$C$4:$C$153,"&lt;="&amp;J54,TARIFAS!$D$4:$D$153,"&gt;="&amp;J54),0)</f>
        <v>8.16</v>
      </c>
      <c r="L54" s="17" t="n">
        <f aca="false">K54*IFERROR(INDEX(TRANSPORTISTAS!$D$4:$D$8,MATCH(C54,TRANSPORTISTAS!$A$4:$A$8,0)),0)</f>
        <v>0.816</v>
      </c>
      <c r="M54" s="17" t="n">
        <f aca="false">IFERROR(INDEX(TRANSPORTISTAS!$E$4:$E$8,MATCH(C54,TRANSPORTISTAS!$A$4:$A$8,0)),0)</f>
        <v>0.2</v>
      </c>
      <c r="N54" s="17" t="n">
        <f aca="false">K54+L54+M54</f>
        <v>9.176</v>
      </c>
      <c r="O54" s="15" t="n">
        <v>9.15</v>
      </c>
      <c r="P54" s="17" t="n">
        <f aca="false">O54-N54</f>
        <v>-0.0259999999999998</v>
      </c>
      <c r="Q54" s="20" t="n">
        <f aca="false">IFERROR(P54/N54,0)</f>
        <v>-0.00283347863993023</v>
      </c>
      <c r="R54" s="21" t="str">
        <f aca="false">IF(ABS(Q54)&lt;=CONFIGURACION!$B$6,"✅ Correcto","⚠ Revisar")</f>
        <v>✅ Correcto</v>
      </c>
      <c r="S54" s="16"/>
    </row>
    <row r="55" customFormat="false" ht="15" hidden="false" customHeight="false" outlineLevel="0" collapsed="false">
      <c r="A55" s="22" t="n">
        <v>46200</v>
      </c>
      <c r="B55" s="23" t="s">
        <v>150</v>
      </c>
      <c r="C55" s="23" t="s">
        <v>33</v>
      </c>
      <c r="D55" s="23" t="s">
        <v>76</v>
      </c>
      <c r="E55" s="24" t="n">
        <v>2.25</v>
      </c>
      <c r="F55" s="23" t="n">
        <v>40</v>
      </c>
      <c r="G55" s="23" t="n">
        <v>12</v>
      </c>
      <c r="H55" s="23" t="n">
        <v>30</v>
      </c>
      <c r="I55" s="24" t="n">
        <f aca="false">(F55*G55*H55)/CONFIGURACION!$B$5</f>
        <v>2.88</v>
      </c>
      <c r="J55" s="24" t="n">
        <f aca="false">MAX(E55,I55)</f>
        <v>2.88</v>
      </c>
      <c r="K55" s="25" t="n">
        <f aca="false">IFERROR(SUMIFS(TARIFAS!$E$4:$E$153,TARIFAS!$A$4:$A$153,C55,TARIFAS!$B$4:$B$153,D55,TARIFAS!$C$4:$C$153,"&lt;="&amp;J55,TARIFAS!$D$4:$D$153,"&gt;="&amp;J55),0)</f>
        <v>5.96</v>
      </c>
      <c r="L55" s="25" t="n">
        <f aca="false">K55*IFERROR(INDEX(TRANSPORTISTAS!$D$4:$D$8,MATCH(C55,TRANSPORTISTAS!$A$4:$A$8,0)),0)</f>
        <v>0.9536</v>
      </c>
      <c r="M55" s="25" t="n">
        <f aca="false">IFERROR(INDEX(TRANSPORTISTAS!$E$4:$E$8,MATCH(C55,TRANSPORTISTAS!$A$4:$A$8,0)),0)</f>
        <v>0.35</v>
      </c>
      <c r="N55" s="25" t="n">
        <f aca="false">K55+L55+M55</f>
        <v>7.2636</v>
      </c>
      <c r="O55" s="15" t="n">
        <v>7.28</v>
      </c>
      <c r="P55" s="25" t="n">
        <f aca="false">O55-N55</f>
        <v>0.0164000000000009</v>
      </c>
      <c r="Q55" s="26" t="n">
        <f aca="false">IFERROR(P55/N55,0)</f>
        <v>0.00225783358114445</v>
      </c>
      <c r="R55" s="27" t="str">
        <f aca="false">IF(ABS(Q55)&lt;=CONFIGURACION!$B$6,"✅ Correcto","⚠ Revisar")</f>
        <v>✅ Correcto</v>
      </c>
      <c r="S55" s="23"/>
    </row>
    <row r="56" customFormat="false" ht="15" hidden="false" customHeight="false" outlineLevel="0" collapsed="false">
      <c r="A56" s="18" t="n">
        <v>46205</v>
      </c>
      <c r="B56" s="16" t="s">
        <v>151</v>
      </c>
      <c r="C56" s="16" t="s">
        <v>37</v>
      </c>
      <c r="D56" s="16" t="s">
        <v>80</v>
      </c>
      <c r="E56" s="19" t="n">
        <v>18.82</v>
      </c>
      <c r="F56" s="16" t="n">
        <v>24</v>
      </c>
      <c r="G56" s="16" t="n">
        <v>34</v>
      </c>
      <c r="H56" s="16" t="n">
        <v>25</v>
      </c>
      <c r="I56" s="19" t="n">
        <f aca="false">(F56*G56*H56)/CONFIGURACION!$B$5</f>
        <v>4.08</v>
      </c>
      <c r="J56" s="19" t="n">
        <f aca="false">MAX(E56,I56)</f>
        <v>18.82</v>
      </c>
      <c r="K56" s="17" t="n">
        <f aca="false">IFERROR(SUMIFS(TARIFAS!$E$4:$E$153,TARIFAS!$A$4:$A$153,C56,TARIFAS!$B$4:$B$153,D56,TARIFAS!$C$4:$C$153,"&lt;="&amp;J56,TARIFAS!$D$4:$D$153,"&gt;="&amp;J56),0)</f>
        <v>48.34</v>
      </c>
      <c r="L56" s="17" t="n">
        <f aca="false">K56*IFERROR(INDEX(TRANSPORTISTAS!$D$4:$D$8,MATCH(C56,TRANSPORTISTAS!$A$4:$A$8,0)),0)</f>
        <v>8.2178</v>
      </c>
      <c r="M56" s="17" t="n">
        <f aca="false">IFERROR(INDEX(TRANSPORTISTAS!$E$4:$E$8,MATCH(C56,TRANSPORTISTAS!$A$4:$A$8,0)),0)</f>
        <v>0.5</v>
      </c>
      <c r="N56" s="17" t="n">
        <f aca="false">K56+L56+M56</f>
        <v>57.0578</v>
      </c>
      <c r="O56" s="15" t="n">
        <v>56.85</v>
      </c>
      <c r="P56" s="17" t="n">
        <f aca="false">O56-N56</f>
        <v>-0.207799999999999</v>
      </c>
      <c r="Q56" s="20" t="n">
        <f aca="false">IFERROR(P56/N56,0)</f>
        <v>-0.0036419209994076</v>
      </c>
      <c r="R56" s="21" t="str">
        <f aca="false">IF(ABS(Q56)&lt;=CONFIGURACION!$B$6,"✅ Correcto","⚠ Revisar")</f>
        <v>✅ Correcto</v>
      </c>
      <c r="S56" s="16"/>
    </row>
    <row r="57" customFormat="false" ht="15" hidden="false" customHeight="false" outlineLevel="0" collapsed="false">
      <c r="A57" s="22" t="n">
        <v>46239</v>
      </c>
      <c r="B57" s="23" t="s">
        <v>152</v>
      </c>
      <c r="C57" s="23" t="s">
        <v>34</v>
      </c>
      <c r="D57" s="23" t="s">
        <v>76</v>
      </c>
      <c r="E57" s="24" t="n">
        <v>18.43</v>
      </c>
      <c r="F57" s="23" t="n">
        <v>47</v>
      </c>
      <c r="G57" s="23" t="n">
        <v>37</v>
      </c>
      <c r="H57" s="23" t="n">
        <v>37</v>
      </c>
      <c r="I57" s="24" t="n">
        <f aca="false">(F57*G57*H57)/CONFIGURACION!$B$5</f>
        <v>12.8686</v>
      </c>
      <c r="J57" s="24" t="n">
        <f aca="false">MAX(E57,I57)</f>
        <v>18.43</v>
      </c>
      <c r="K57" s="25" t="n">
        <f aca="false">IFERROR(SUMIFS(TARIFAS!$E$4:$E$153,TARIFAS!$A$4:$A$153,C57,TARIFAS!$B$4:$B$153,D57,TARIFAS!$C$4:$C$153,"&lt;="&amp;J57,TARIFAS!$D$4:$D$153,"&gt;="&amp;J57),0)</f>
        <v>13.68</v>
      </c>
      <c r="L57" s="25" t="n">
        <f aca="false">K57*IFERROR(INDEX(TRANSPORTISTAS!$D$4:$D$8,MATCH(C57,TRANSPORTISTAS!$A$4:$A$8,0)),0)</f>
        <v>1.6416</v>
      </c>
      <c r="M57" s="25" t="n">
        <f aca="false">IFERROR(INDEX(TRANSPORTISTAS!$E$4:$E$8,MATCH(C57,TRANSPORTISTAS!$A$4:$A$8,0)),0)</f>
        <v>0.25</v>
      </c>
      <c r="N57" s="25" t="n">
        <f aca="false">K57+L57+M57</f>
        <v>15.5716</v>
      </c>
      <c r="O57" s="15" t="n">
        <v>15.61</v>
      </c>
      <c r="P57" s="25" t="n">
        <f aca="false">O57-N57</f>
        <v>0.0383999999999993</v>
      </c>
      <c r="Q57" s="26" t="n">
        <f aca="false">IFERROR(P57/N57,0)</f>
        <v>0.00246602789694054</v>
      </c>
      <c r="R57" s="27" t="str">
        <f aca="false">IF(ABS(Q57)&lt;=CONFIGURACION!$B$6,"✅ Correcto","⚠ Revisar")</f>
        <v>✅ Correcto</v>
      </c>
      <c r="S57" s="23"/>
    </row>
    <row r="58" customFormat="false" ht="15" hidden="false" customHeight="false" outlineLevel="0" collapsed="false">
      <c r="A58" s="18" t="n">
        <v>46236</v>
      </c>
      <c r="B58" s="16" t="s">
        <v>153</v>
      </c>
      <c r="C58" s="16" t="s">
        <v>33</v>
      </c>
      <c r="D58" s="16" t="s">
        <v>79</v>
      </c>
      <c r="E58" s="19" t="n">
        <v>12.97</v>
      </c>
      <c r="F58" s="16" t="n">
        <v>60</v>
      </c>
      <c r="G58" s="16" t="n">
        <v>24</v>
      </c>
      <c r="H58" s="16" t="n">
        <v>10</v>
      </c>
      <c r="I58" s="19" t="n">
        <f aca="false">(F58*G58*H58)/CONFIGURACION!$B$5</f>
        <v>2.88</v>
      </c>
      <c r="J58" s="19" t="n">
        <f aca="false">MAX(E58,I58)</f>
        <v>12.97</v>
      </c>
      <c r="K58" s="17" t="n">
        <f aca="false">IFERROR(SUMIFS(TARIFAS!$E$4:$E$153,TARIFAS!$A$4:$A$153,C58,TARIFAS!$B$4:$B$153,D58,TARIFAS!$C$4:$C$153,"&lt;="&amp;J58,TARIFAS!$D$4:$D$153,"&gt;="&amp;J58),0)</f>
        <v>28.73</v>
      </c>
      <c r="L58" s="17" t="n">
        <f aca="false">K58*IFERROR(INDEX(TRANSPORTISTAS!$D$4:$D$8,MATCH(C58,TRANSPORTISTAS!$A$4:$A$8,0)),0)</f>
        <v>4.5968</v>
      </c>
      <c r="M58" s="17" t="n">
        <f aca="false">IFERROR(INDEX(TRANSPORTISTAS!$E$4:$E$8,MATCH(C58,TRANSPORTISTAS!$A$4:$A$8,0)),0)</f>
        <v>0.35</v>
      </c>
      <c r="N58" s="17" t="n">
        <f aca="false">K58+L58+M58</f>
        <v>33.6768</v>
      </c>
      <c r="O58" s="15" t="n">
        <v>41.09</v>
      </c>
      <c r="P58" s="17" t="n">
        <f aca="false">O58-N58</f>
        <v>7.4132</v>
      </c>
      <c r="Q58" s="20" t="n">
        <f aca="false">IFERROR(P58/N58,0)</f>
        <v>0.220127803116686</v>
      </c>
      <c r="R58" s="21" t="str">
        <f aca="false">IF(ABS(Q58)&lt;=CONFIGURACION!$B$6,"✅ Correcto","⚠ Revisar")</f>
        <v>⚠ Revisar</v>
      </c>
      <c r="S58" s="16"/>
    </row>
    <row r="59" customFormat="false" ht="15" hidden="false" customHeight="false" outlineLevel="0" collapsed="false">
      <c r="A59" s="22" t="n">
        <v>46206</v>
      </c>
      <c r="B59" s="23" t="s">
        <v>154</v>
      </c>
      <c r="C59" s="23" t="s">
        <v>36</v>
      </c>
      <c r="D59" s="23" t="s">
        <v>79</v>
      </c>
      <c r="E59" s="24" t="n">
        <v>12.42</v>
      </c>
      <c r="F59" s="23" t="n">
        <v>55</v>
      </c>
      <c r="G59" s="23" t="n">
        <v>11</v>
      </c>
      <c r="H59" s="23" t="n">
        <v>39</v>
      </c>
      <c r="I59" s="24" t="n">
        <f aca="false">(F59*G59*H59)/CONFIGURACION!$B$5</f>
        <v>4.719</v>
      </c>
      <c r="J59" s="24" t="n">
        <f aca="false">MAX(E59,I59)</f>
        <v>12.42</v>
      </c>
      <c r="K59" s="25" t="n">
        <f aca="false">IFERROR(SUMIFS(TARIFAS!$E$4:$E$153,TARIFAS!$A$4:$A$153,C59,TARIFAS!$B$4:$B$153,D59,TARIFAS!$C$4:$C$153,"&lt;="&amp;J59,TARIFAS!$D$4:$D$153,"&gt;="&amp;J59),0)</f>
        <v>37.62</v>
      </c>
      <c r="L59" s="25" t="n">
        <f aca="false">K59*IFERROR(INDEX(TRANSPORTISTAS!$D$4:$D$8,MATCH(C59,TRANSPORTISTAS!$A$4:$A$8,0)),0)</f>
        <v>6.7716</v>
      </c>
      <c r="M59" s="25" t="n">
        <f aca="false">IFERROR(INDEX(TRANSPORTISTAS!$E$4:$E$8,MATCH(C59,TRANSPORTISTAS!$A$4:$A$8,0)),0)</f>
        <v>0.5</v>
      </c>
      <c r="N59" s="25" t="n">
        <f aca="false">K59+L59+M59</f>
        <v>44.8916</v>
      </c>
      <c r="O59" s="15" t="n">
        <v>44.79</v>
      </c>
      <c r="P59" s="25" t="n">
        <f aca="false">O59-N59</f>
        <v>-0.101599999999998</v>
      </c>
      <c r="Q59" s="26" t="n">
        <f aca="false">IFERROR(P59/N59,0)</f>
        <v>-0.00226322964652625</v>
      </c>
      <c r="R59" s="27" t="str">
        <f aca="false">IF(ABS(Q59)&lt;=CONFIGURACION!$B$6,"✅ Correcto","⚠ Revisar")</f>
        <v>✅ Correcto</v>
      </c>
      <c r="S59" s="23"/>
    </row>
    <row r="60" customFormat="false" ht="15" hidden="false" customHeight="false" outlineLevel="0" collapsed="false">
      <c r="A60" s="18" t="n">
        <v>46229</v>
      </c>
      <c r="B60" s="16" t="s">
        <v>155</v>
      </c>
      <c r="C60" s="16" t="s">
        <v>33</v>
      </c>
      <c r="D60" s="16" t="s">
        <v>79</v>
      </c>
      <c r="E60" s="19" t="n">
        <v>11.21</v>
      </c>
      <c r="F60" s="16" t="n">
        <v>49</v>
      </c>
      <c r="G60" s="16" t="n">
        <v>15</v>
      </c>
      <c r="H60" s="16" t="n">
        <v>38</v>
      </c>
      <c r="I60" s="19" t="n">
        <f aca="false">(F60*G60*H60)/CONFIGURACION!$B$5</f>
        <v>5.586</v>
      </c>
      <c r="J60" s="19" t="n">
        <f aca="false">MAX(E60,I60)</f>
        <v>11.21</v>
      </c>
      <c r="K60" s="17" t="n">
        <f aca="false">IFERROR(SUMIFS(TARIFAS!$E$4:$E$153,TARIFAS!$A$4:$A$153,C60,TARIFAS!$B$4:$B$153,D60,TARIFAS!$C$4:$C$153,"&lt;="&amp;J60,TARIFAS!$D$4:$D$153,"&gt;="&amp;J60),0)</f>
        <v>28.73</v>
      </c>
      <c r="L60" s="17" t="n">
        <f aca="false">K60*IFERROR(INDEX(TRANSPORTISTAS!$D$4:$D$8,MATCH(C60,TRANSPORTISTAS!$A$4:$A$8,0)),0)</f>
        <v>4.5968</v>
      </c>
      <c r="M60" s="17" t="n">
        <f aca="false">IFERROR(INDEX(TRANSPORTISTAS!$E$4:$E$8,MATCH(C60,TRANSPORTISTAS!$A$4:$A$8,0)),0)</f>
        <v>0.35</v>
      </c>
      <c r="N60" s="17" t="n">
        <f aca="false">K60+L60+M60</f>
        <v>33.6768</v>
      </c>
      <c r="O60" s="15" t="n">
        <v>33.67</v>
      </c>
      <c r="P60" s="17" t="n">
        <f aca="false">O60-N60</f>
        <v>-0.00679999999999836</v>
      </c>
      <c r="Q60" s="20" t="n">
        <f aca="false">IFERROR(P60/N60,0)</f>
        <v>-0.000201919422272851</v>
      </c>
      <c r="R60" s="21" t="str">
        <f aca="false">IF(ABS(Q60)&lt;=CONFIGURACION!$B$6,"✅ Correcto","⚠ Revisar")</f>
        <v>✅ Correcto</v>
      </c>
      <c r="S60" s="16"/>
    </row>
    <row r="61" customFormat="false" ht="15" hidden="false" customHeight="false" outlineLevel="0" collapsed="false">
      <c r="A61" s="22" t="n">
        <v>46204</v>
      </c>
      <c r="B61" s="23" t="s">
        <v>156</v>
      </c>
      <c r="C61" s="23" t="s">
        <v>35</v>
      </c>
      <c r="D61" s="23" t="s">
        <v>76</v>
      </c>
      <c r="E61" s="24" t="n">
        <v>16.71</v>
      </c>
      <c r="F61" s="23" t="n">
        <v>29</v>
      </c>
      <c r="G61" s="23" t="n">
        <v>39</v>
      </c>
      <c r="H61" s="23" t="n">
        <v>36</v>
      </c>
      <c r="I61" s="24" t="n">
        <f aca="false">(F61*G61*H61)/CONFIGURACION!$B$5</f>
        <v>8.1432</v>
      </c>
      <c r="J61" s="24" t="n">
        <f aca="false">MAX(E61,I61)</f>
        <v>16.71</v>
      </c>
      <c r="K61" s="25" t="n">
        <f aca="false">IFERROR(SUMIFS(TARIFAS!$E$4:$E$153,TARIFAS!$A$4:$A$153,C61,TARIFAS!$B$4:$B$153,D61,TARIFAS!$C$4:$C$153,"&lt;="&amp;J61,TARIFAS!$D$4:$D$153,"&gt;="&amp;J61),0)</f>
        <v>12.92</v>
      </c>
      <c r="L61" s="25" t="n">
        <f aca="false">K61*IFERROR(INDEX(TRANSPORTISTAS!$D$4:$D$8,MATCH(C61,TRANSPORTISTAS!$A$4:$A$8,0)),0)</f>
        <v>1.292</v>
      </c>
      <c r="M61" s="25" t="n">
        <f aca="false">IFERROR(INDEX(TRANSPORTISTAS!$E$4:$E$8,MATCH(C61,TRANSPORTISTAS!$A$4:$A$8,0)),0)</f>
        <v>0.2</v>
      </c>
      <c r="N61" s="25" t="n">
        <f aca="false">K61+L61+M61</f>
        <v>14.412</v>
      </c>
      <c r="O61" s="15" t="n">
        <v>18.45</v>
      </c>
      <c r="P61" s="25" t="n">
        <f aca="false">O61-N61</f>
        <v>4.038</v>
      </c>
      <c r="Q61" s="26" t="n">
        <f aca="false">IFERROR(P61/N61,0)</f>
        <v>0.280183180682764</v>
      </c>
      <c r="R61" s="27" t="str">
        <f aca="false">IF(ABS(Q61)&lt;=CONFIGURACION!$B$6,"✅ Correcto","⚠ Revisar")</f>
        <v>⚠ Revisar</v>
      </c>
      <c r="S61" s="23"/>
    </row>
    <row r="62" customFormat="false" ht="15" hidden="false" customHeight="false" outlineLevel="0" collapsed="false">
      <c r="A62" s="18" t="n">
        <v>46218</v>
      </c>
      <c r="B62" s="16" t="s">
        <v>157</v>
      </c>
      <c r="C62" s="16" t="s">
        <v>33</v>
      </c>
      <c r="D62" s="16" t="s">
        <v>77</v>
      </c>
      <c r="E62" s="19" t="n">
        <v>14.25</v>
      </c>
      <c r="F62" s="16" t="n">
        <v>19</v>
      </c>
      <c r="G62" s="16" t="n">
        <v>19</v>
      </c>
      <c r="H62" s="16" t="n">
        <v>26</v>
      </c>
      <c r="I62" s="19" t="n">
        <f aca="false">(F62*G62*H62)/CONFIGURACION!$B$5</f>
        <v>1.8772</v>
      </c>
      <c r="J62" s="19" t="n">
        <f aca="false">MAX(E62,I62)</f>
        <v>14.25</v>
      </c>
      <c r="K62" s="17" t="n">
        <f aca="false">IFERROR(SUMIFS(TARIFAS!$E$4:$E$153,TARIFAS!$A$4:$A$153,C62,TARIFAS!$B$4:$B$153,D62,TARIFAS!$C$4:$C$153,"&lt;="&amp;J62,TARIFAS!$D$4:$D$153,"&gt;="&amp;J62),0)</f>
        <v>21.55</v>
      </c>
      <c r="L62" s="17" t="n">
        <f aca="false">K62*IFERROR(INDEX(TRANSPORTISTAS!$D$4:$D$8,MATCH(C62,TRANSPORTISTAS!$A$4:$A$8,0)),0)</f>
        <v>3.448</v>
      </c>
      <c r="M62" s="17" t="n">
        <f aca="false">IFERROR(INDEX(TRANSPORTISTAS!$E$4:$E$8,MATCH(C62,TRANSPORTISTAS!$A$4:$A$8,0)),0)</f>
        <v>0.35</v>
      </c>
      <c r="N62" s="17" t="n">
        <f aca="false">K62+L62+M62</f>
        <v>25.348</v>
      </c>
      <c r="O62" s="15" t="n">
        <v>25.39</v>
      </c>
      <c r="P62" s="17" t="n">
        <f aca="false">O62-N62</f>
        <v>0.041999999999998</v>
      </c>
      <c r="Q62" s="20" t="n">
        <f aca="false">IFERROR(P62/N62,0)</f>
        <v>0.00165693545841873</v>
      </c>
      <c r="R62" s="21" t="str">
        <f aca="false">IF(ABS(Q62)&lt;=CONFIGURACION!$B$6,"✅ Correcto","⚠ Revisar")</f>
        <v>✅ Correcto</v>
      </c>
      <c r="S62" s="16"/>
    </row>
    <row r="63" customFormat="false" ht="15" hidden="false" customHeight="false" outlineLevel="0" collapsed="false">
      <c r="A63" s="22" t="n">
        <v>46239</v>
      </c>
      <c r="B63" s="23" t="s">
        <v>158</v>
      </c>
      <c r="C63" s="23" t="s">
        <v>37</v>
      </c>
      <c r="D63" s="23" t="s">
        <v>76</v>
      </c>
      <c r="E63" s="24" t="n">
        <v>10.77</v>
      </c>
      <c r="F63" s="23" t="n">
        <v>46</v>
      </c>
      <c r="G63" s="23" t="n">
        <v>27</v>
      </c>
      <c r="H63" s="23" t="n">
        <v>11</v>
      </c>
      <c r="I63" s="24" t="n">
        <f aca="false">(F63*G63*H63)/CONFIGURACION!$B$5</f>
        <v>2.7324</v>
      </c>
      <c r="J63" s="24" t="n">
        <f aca="false">MAX(E63,I63)</f>
        <v>10.77</v>
      </c>
      <c r="K63" s="25" t="n">
        <f aca="false">IFERROR(SUMIFS(TARIFAS!$E$4:$E$153,TARIFAS!$A$4:$A$153,C63,TARIFAS!$B$4:$B$153,D63,TARIFAS!$C$4:$C$153,"&lt;="&amp;J63,TARIFAS!$D$4:$D$153,"&gt;="&amp;J63),0)</f>
        <v>20.14</v>
      </c>
      <c r="L63" s="25" t="n">
        <f aca="false">K63*IFERROR(INDEX(TRANSPORTISTAS!$D$4:$D$8,MATCH(C63,TRANSPORTISTAS!$A$4:$A$8,0)),0)</f>
        <v>3.4238</v>
      </c>
      <c r="M63" s="25" t="n">
        <f aca="false">IFERROR(INDEX(TRANSPORTISTAS!$E$4:$E$8,MATCH(C63,TRANSPORTISTAS!$A$4:$A$8,0)),0)</f>
        <v>0.5</v>
      </c>
      <c r="N63" s="25" t="n">
        <f aca="false">K63+L63+M63</f>
        <v>24.0638</v>
      </c>
      <c r="O63" s="15" t="n">
        <v>24.06</v>
      </c>
      <c r="P63" s="25" t="n">
        <f aca="false">O63-N63</f>
        <v>-0.0038000000000018</v>
      </c>
      <c r="Q63" s="26" t="n">
        <f aca="false">IFERROR(P63/N63,0)</f>
        <v>-0.000157913546488992</v>
      </c>
      <c r="R63" s="27" t="str">
        <f aca="false">IF(ABS(Q63)&lt;=CONFIGURACION!$B$6,"✅ Correcto","⚠ Revisar")</f>
        <v>✅ Correcto</v>
      </c>
      <c r="S63" s="23"/>
    </row>
    <row r="66" customFormat="false" ht="15" hidden="false" customHeight="false" outlineLevel="0" collapsed="false">
      <c r="A66" s="4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2026-08-16T15:56:30Z</dcterms:created>
  <dc:creator>openpyxl</dc:creator>
  <dc:description/>
  <dc:language>en-US</dc:language>
  <cp:lastModifiedBy/>
  <dcterms:modified xsi:type="dcterms:W3CDTF">2026-08-16T15:56:33Z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